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Beräkningar" sheetId="2" state="visible" r:id="rId2"/>
    <sheet xmlns:r="http://schemas.openxmlformats.org/officeDocument/2006/relationships" name="Dashboard" sheetId="3" state="visible" r:id="rId3"/>
  </sheets>
  <definedNames>
    <definedName name="_xlnm.Print_Area" localSheetId="1">'Beräkningar'!$A$1:$Q$24</definedName>
    <definedName name="_xlnm.Print_Area" localSheetId="2">'Dashboard'!$A$1:$R$30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#,##0&quot; kr&quot;"/>
    <numFmt numFmtId="166" formatCode="0.0%"/>
    <numFmt numFmtId="167" formatCode="0.0%&quot; av målet&quot;"/>
    <numFmt numFmtId="168" formatCode="0.0%&quot; av försäljningen&quot;"/>
  </numFmts>
  <fonts count="13">
    <font>
      <name val="Calibri"/>
      <family val="2"/>
      <color theme="1"/>
      <sz val="11"/>
      <scheme val="minor"/>
    </font>
    <font>
      <name val="Calibri"/>
      <i val="1"/>
      <color rgb="006B7280"/>
      <sz val="10"/>
    </font>
    <font>
      <name val="Calibri"/>
      <color rgb="006B7280"/>
      <sz val="10"/>
    </font>
    <font>
      <name val="Calibri"/>
      <b val="1"/>
      <color rgb="00111111"/>
      <sz val="14"/>
    </font>
    <font>
      <name val="Calibri"/>
      <b val="1"/>
      <color rgb="00FFFFFF"/>
      <sz val="11"/>
    </font>
    <font>
      <name val="Calibri"/>
      <b val="1"/>
      <color rgb="00111111"/>
      <sz val="11"/>
    </font>
    <font>
      <name val="Calibri"/>
      <i val="1"/>
      <color rgb="006B7280"/>
      <sz val="9"/>
    </font>
    <font>
      <name val="Calibri"/>
      <b val="1"/>
      <color rgb="00111111"/>
      <sz val="12"/>
    </font>
    <font>
      <name val="Calibri"/>
      <b val="1"/>
      <color rgb="00111111"/>
      <sz val="18"/>
    </font>
    <font>
      <name val="Calibri"/>
      <b val="1"/>
      <color rgb="006B7280"/>
      <sz val="10"/>
    </font>
    <font>
      <name val="Calibri"/>
      <b val="1"/>
      <color rgb="006B7280"/>
      <sz val="9"/>
    </font>
    <font>
      <name val="Calibri"/>
      <b val="1"/>
      <color rgb="00111111"/>
      <sz val="22"/>
    </font>
    <font>
      <name val="Calibri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111111"/>
      </patternFill>
    </fill>
    <fill>
      <patternFill patternType="solid">
        <fgColor rgb="00FFFFFF"/>
      </patternFill>
    </fill>
    <fill>
      <patternFill patternType="solid">
        <fgColor rgb="00F3F4F6"/>
      </patternFill>
    </fill>
  </fills>
  <borders count="1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  <border>
      <left style="thin">
        <color rgb="00111111"/>
      </left>
      <right style="thin">
        <color rgb="00111111"/>
      </right>
      <top style="thin">
        <color rgb="00111111"/>
      </top>
      <bottom style="thin">
        <color rgb="00111111"/>
      </bottom>
    </border>
    <border>
      <left style="thin">
        <color rgb="00E5E7EB"/>
      </left>
      <top style="thin">
        <color rgb="00E5E7EB"/>
      </top>
    </border>
    <border>
      <top style="thin">
        <color rgb="00E5E7EB"/>
      </top>
    </border>
    <border>
      <right style="thin">
        <color rgb="00E5E7EB"/>
      </right>
      <top style="thin">
        <color rgb="00E5E7EB"/>
      </top>
    </border>
    <border>
      <left style="thin">
        <color rgb="00E5E7EB"/>
      </left>
    </border>
    <border/>
    <border>
      <right style="thin">
        <color rgb="00E5E7EB"/>
      </right>
    </border>
    <border>
      <left style="thin">
        <color rgb="00E5E7EB"/>
      </left>
      <bottom style="thin">
        <color rgb="00E5E7EB"/>
      </bottom>
    </border>
    <border>
      <bottom style="thin">
        <color rgb="00E5E7EB"/>
      </bottom>
    </border>
    <border>
      <right style="thin">
        <color rgb="00E5E7EB"/>
      </right>
      <bottom style="thin">
        <color rgb="00E5E7E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5" fillId="0" borderId="1" pivotButton="0" quotePrefix="0" xfId="0"/>
    <xf numFmtId="165" fontId="5" fillId="0" borderId="1" pivotButton="0" quotePrefix="0" xfId="0"/>
    <xf numFmtId="166" fontId="5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0" fontId="6" fillId="0" borderId="0" pivotButton="0" quotePrefix="0" xfId="0"/>
    <xf numFmtId="0" fontId="7" fillId="0" borderId="0" pivotButton="0" quotePrefix="0" xfId="0"/>
    <xf numFmtId="1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165" fontId="0" fillId="0" borderId="1" pivotButton="0" quotePrefix="0" xfId="0"/>
    <xf numFmtId="166" fontId="0" fillId="0" borderId="1" pivotButton="0" quotePrefix="0" xfId="0"/>
    <xf numFmtId="0" fontId="8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 indent="1"/>
    </xf>
    <xf numFmtId="0" fontId="5" fillId="3" borderId="2" applyAlignment="1" applyProtection="1" pivotButton="0" quotePrefix="0" xfId="0">
      <alignment horizontal="center" vertical="center"/>
      <protection locked="0" hidden="0"/>
    </xf>
    <xf numFmtId="0" fontId="0" fillId="3" borderId="2" applyProtection="1" pivotButton="0" quotePrefix="0" xfId="0">
      <protection locked="0" hidden="0"/>
    </xf>
    <xf numFmtId="0" fontId="6" fillId="0" borderId="0" applyAlignment="1" pivotButton="0" quotePrefix="0" xfId="0">
      <alignment vertical="center"/>
    </xf>
    <xf numFmtId="0" fontId="10" fillId="4" borderId="3" applyAlignment="1" pivotButton="0" quotePrefix="0" xfId="0">
      <alignment horizontal="center" vertical="bottom"/>
    </xf>
    <xf numFmtId="0" fontId="0" fillId="4" borderId="4" pivotButton="0" quotePrefix="0" xfId="0"/>
    <xf numFmtId="0" fontId="0" fillId="4" borderId="5" pivotButton="0" quotePrefix="0" xfId="0"/>
    <xf numFmtId="165" fontId="11" fillId="4" borderId="6" applyAlignment="1" pivotButton="0" quotePrefix="0" xfId="0">
      <alignment horizontal="center" vertical="center"/>
    </xf>
    <xf numFmtId="0" fontId="0" fillId="4" borderId="7" pivotButton="0" quotePrefix="0" xfId="0"/>
    <xf numFmtId="0" fontId="0" fillId="4" borderId="8" pivotButton="0" quotePrefix="0" xfId="0"/>
    <xf numFmtId="166" fontId="11" fillId="4" borderId="6" applyAlignment="1" pivotButton="0" quotePrefix="0" xfId="0">
      <alignment horizontal="center" vertical="center"/>
    </xf>
    <xf numFmtId="167" fontId="12" fillId="4" borderId="9" applyAlignment="1" pivotButton="0" quotePrefix="0" xfId="0">
      <alignment horizontal="center" vertical="center"/>
    </xf>
    <xf numFmtId="0" fontId="0" fillId="4" borderId="10" pivotButton="0" quotePrefix="0" xfId="0"/>
    <xf numFmtId="0" fontId="0" fillId="4" borderId="11" pivotButton="0" quotePrefix="0" xfId="0"/>
    <xf numFmtId="0" fontId="12" fillId="4" borderId="9" applyAlignment="1" pivotButton="0" quotePrefix="0" xfId="0">
      <alignment horizontal="center" vertical="top"/>
    </xf>
    <xf numFmtId="168" fontId="12" fillId="4" borderId="9" applyAlignment="1" pivotButton="0" quotePrefix="0" xfId="0">
      <alignment horizontal="center" vertical="top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5803D"/>
        <sz val="9"/>
      </font>
    </dxf>
    <dxf>
      <font>
        <b val="1"/>
        <color rgb="00B91C1C"/>
        <sz val="9"/>
      </font>
    </dxf>
    <dxf>
      <font>
        <b val="1"/>
        <color rgb="0015803D"/>
        <sz val="22"/>
      </font>
    </dxf>
    <dxf>
      <font>
        <b val="1"/>
        <color rgb="00B91C1C"/>
        <sz val="2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11111"/>
                </a:solidFill>
              </a:defRPr>
            </a:pPr>
            <a:r>
              <a:rPr sz="1100" b="1">
                <a:solidFill>
                  <a:srgbClr val="111111"/>
                </a:solidFill>
              </a:rPr>
              <a:t>Försäljning mot mål per månad (vald kategori)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'Beräkningar'!B16</f>
            </strRef>
          </tx>
          <spPr>
            <a:ln xmlns:a="http://schemas.openxmlformats.org/drawingml/2006/main" w="28575">
              <a:solidFill>
                <a:srgbClr val="111111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111111"/>
              </a:solidFill>
              <a:ln xmlns:a="http://schemas.openxmlformats.org/drawingml/2006/main">
                <a:solidFill>
                  <a:srgbClr val="111111"/>
                </a:solidFill>
                <a:prstDash val="solid"/>
              </a:ln>
            </spPr>
          </marker>
          <cat>
            <numRef>
              <f>'Beräkningar'!$A$17:$A$22</f>
            </numRef>
          </cat>
          <val>
            <numRef>
              <f>'Beräkningar'!$B$17:$B$22</f>
            </numRef>
          </val>
          <smooth val="0"/>
        </ser>
        <ser>
          <idx val="1"/>
          <order val="1"/>
          <tx>
            <strRef>
              <f>'Beräkningar'!C16</f>
            </strRef>
          </tx>
          <spPr>
            <a:ln xmlns:a="http://schemas.openxmlformats.org/drawingml/2006/main" w="28575">
              <a:solidFill>
                <a:srgbClr val="9CA3AF"/>
              </a:solidFill>
              <a:prstDash val="dash"/>
            </a:ln>
          </spPr>
          <marker>
            <symbol val="circle"/>
            <size val="7"/>
            <spPr>
              <a:solidFill xmlns:a="http://schemas.openxmlformats.org/drawingml/2006/main">
                <a:srgbClr val="9CA3AF"/>
              </a:solidFill>
              <a:ln xmlns:a="http://schemas.openxmlformats.org/drawingml/2006/main">
                <a:solidFill>
                  <a:srgbClr val="9CA3AF"/>
                </a:solidFill>
                <a:prstDash val="solid"/>
              </a:ln>
            </spPr>
          </marker>
          <cat>
            <numRef>
              <f>'Beräkningar'!$A$17:$A$22</f>
            </numRef>
          </cat>
          <val>
            <numRef>
              <f>'Beräkningar'!$C$17:$C$22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11111"/>
                </a:solidFill>
              </a:defRPr>
            </a:pPr>
            <a:r>
              <a:rPr sz="1100" b="1">
                <a:solidFill>
                  <a:srgbClr val="111111"/>
                </a:solidFill>
              </a:rPr>
              <a:t>Försäljning mot mål per kategori (vald månad)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strRef>
              <f>'Beräkningar'!B8</f>
            </strRef>
          </tx>
          <spPr>
            <a:solidFill xmlns:a="http://schemas.openxmlformats.org/drawingml/2006/main">
              <a:srgbClr val="111111"/>
            </a:solidFill>
            <a:ln xmlns:a="http://schemas.openxmlformats.org/drawingml/2006/main">
              <a:solidFill>
                <a:srgbClr val="111111"/>
              </a:solidFill>
              <a:prstDash val="solid"/>
            </a:ln>
          </spPr>
          <cat>
            <numRef>
              <f>'Beräkningar'!$A$9:$A$11</f>
            </numRef>
          </cat>
          <val>
            <numRef>
              <f>'Beräkningar'!$B$9:$B$11</f>
            </numRef>
          </val>
        </ser>
        <ser>
          <idx val="1"/>
          <order val="1"/>
          <tx>
            <strRef>
              <f>'Beräkningar'!C8</f>
            </strRef>
          </tx>
          <spPr>
            <a:solidFill xmlns:a="http://schemas.openxmlformats.org/drawingml/2006/main">
              <a:srgbClr val="9CA3AF"/>
            </a:solidFill>
            <a:ln xmlns:a="http://schemas.openxmlformats.org/drawingml/2006/main">
              <a:solidFill>
                <a:srgbClr val="9CA3AF"/>
              </a:solidFill>
              <a:prstDash val="solid"/>
            </a:ln>
          </spPr>
          <cat>
            <numRef>
              <f>'Beräkningar'!$A$9:$A$11</f>
            </numRef>
          </cat>
          <val>
            <numRef>
              <f>'Beräkningar'!$C$9:$C$11</f>
            </numRef>
          </val>
        </ser>
        <gapWidth val="8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8</row>
      <rowOff>0</rowOff>
    </from>
    <ext cx="5903999" cy="31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8</row>
      <rowOff>0</rowOff>
    </from>
    <ext cx="5903999" cy="316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lFörsäljning" displayName="TabellFörsäljning" ref="A1:E60" headerRowCount="1">
  <autoFilter ref="A1:E60"/>
  <tableColumns count="5">
    <tableColumn id="1" name="Datum"/>
    <tableColumn id="2" name="Försäljning"/>
    <tableColumn id="3" name="Mål"/>
    <tableColumn id="4" name="Kostnad"/>
    <tableColumn id="5" name="Kategori"/>
  </tableColumns>
  <tableStyleInfo name="TableStyleMedium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4" customWidth="1" min="3" max="3"/>
    <col width="14" customWidth="1" min="4" max="4"/>
    <col width="18" customWidth="1" min="5" max="5"/>
    <col width="3" customWidth="1" min="6" max="6"/>
    <col width="62" customWidth="1" min="7" max="7"/>
  </cols>
  <sheetData>
    <row r="1">
      <c r="A1" t="inlineStr">
        <is>
          <t>Datum</t>
        </is>
      </c>
      <c r="B1" t="inlineStr">
        <is>
          <t>Försäljning</t>
        </is>
      </c>
      <c r="C1" t="inlineStr">
        <is>
          <t>Mål</t>
        </is>
      </c>
      <c r="D1" t="inlineStr">
        <is>
          <t>Kostnad</t>
        </is>
      </c>
      <c r="E1" t="inlineStr">
        <is>
          <t>Kategori</t>
        </is>
      </c>
      <c r="G1" s="1" t="inlineStr">
        <is>
          <t>Hypotetiskt exempel — orova.vn</t>
        </is>
      </c>
    </row>
    <row r="2">
      <c r="A2" s="2" t="n">
        <v>46027</v>
      </c>
      <c r="B2" s="3" t="n">
        <v>45000</v>
      </c>
      <c r="C2" s="3" t="n">
        <v>40000</v>
      </c>
      <c r="D2" s="3" t="n">
        <v>28000</v>
      </c>
      <c r="E2" t="inlineStr">
        <is>
          <t>Programvara</t>
        </is>
      </c>
      <c r="G2" s="4" t="inlineStr">
        <is>
          <t>Excel-tabell TabellFörsäljning, belopp i svenska kronor (SEK). Klistra in nya rader direkt under tabellen, så växer tabellen och alla formler på Beräkningar och Dashboard tar med dem.</t>
        </is>
      </c>
    </row>
    <row r="3">
      <c r="A3" s="2" t="n">
        <v>46034</v>
      </c>
      <c r="B3" s="3" t="n">
        <v>62000</v>
      </c>
      <c r="C3" s="3" t="n">
        <v>55000</v>
      </c>
      <c r="D3" s="3" t="n">
        <v>35000</v>
      </c>
      <c r="E3" t="inlineStr">
        <is>
          <t>Hårdvara</t>
        </is>
      </c>
    </row>
    <row r="4">
      <c r="A4" s="2" t="n">
        <v>46041</v>
      </c>
      <c r="B4" s="3" t="n">
        <v>38000</v>
      </c>
      <c r="C4" s="3" t="n">
        <v>45000</v>
      </c>
      <c r="D4" s="3" t="n">
        <v>26000</v>
      </c>
      <c r="E4" t="inlineStr">
        <is>
          <t>Konsulttjänster</t>
        </is>
      </c>
    </row>
    <row r="5">
      <c r="A5" s="2" t="n">
        <v>46055</v>
      </c>
      <c r="B5" s="3" t="n">
        <v>71000</v>
      </c>
      <c r="C5" s="3" t="n">
        <v>60000</v>
      </c>
      <c r="D5" s="3" t="n">
        <v>41000</v>
      </c>
      <c r="E5" t="inlineStr">
        <is>
          <t>Programvara</t>
        </is>
      </c>
    </row>
    <row r="6">
      <c r="A6" s="2" t="n">
        <v>46068</v>
      </c>
      <c r="B6" s="3" t="n">
        <v>84000</v>
      </c>
      <c r="C6" s="3" t="n">
        <v>75000</v>
      </c>
      <c r="D6" s="3" t="n">
        <v>49000</v>
      </c>
      <c r="E6" t="inlineStr">
        <is>
          <t>Hårdvara</t>
        </is>
      </c>
    </row>
    <row r="7">
      <c r="A7" s="2" t="n">
        <v>46042</v>
      </c>
      <c r="B7" s="3" t="n">
        <v>49000</v>
      </c>
      <c r="C7" s="3" t="n">
        <v>49000</v>
      </c>
      <c r="D7" s="3" t="n">
        <v>30000</v>
      </c>
      <c r="E7" t="inlineStr">
        <is>
          <t>Konsulttjänster</t>
        </is>
      </c>
    </row>
    <row r="8">
      <c r="A8" s="2" t="n">
        <v>46043</v>
      </c>
      <c r="B8" s="3" t="n">
        <v>54000</v>
      </c>
      <c r="C8" s="3" t="n">
        <v>49000</v>
      </c>
      <c r="D8" s="3" t="n">
        <v>33000</v>
      </c>
      <c r="E8" t="inlineStr">
        <is>
          <t>Programvara</t>
        </is>
      </c>
    </row>
    <row r="9">
      <c r="A9" s="2" t="n">
        <v>46043</v>
      </c>
      <c r="B9" s="3" t="n">
        <v>40000</v>
      </c>
      <c r="C9" s="3" t="n">
        <v>42000</v>
      </c>
      <c r="D9" s="3" t="n">
        <v>24000</v>
      </c>
      <c r="E9" t="inlineStr">
        <is>
          <t>Konsulttjänster</t>
        </is>
      </c>
    </row>
    <row r="10">
      <c r="A10" s="2" t="n">
        <v>46044</v>
      </c>
      <c r="B10" s="3" t="n">
        <v>58000</v>
      </c>
      <c r="C10" s="3" t="n">
        <v>56000</v>
      </c>
      <c r="D10" s="3" t="n">
        <v>31000</v>
      </c>
      <c r="E10" t="inlineStr">
        <is>
          <t>Programvara</t>
        </is>
      </c>
    </row>
    <row r="11">
      <c r="A11" s="2" t="n">
        <v>46044</v>
      </c>
      <c r="B11" s="3" t="n">
        <v>76000</v>
      </c>
      <c r="C11" s="3" t="n">
        <v>67000</v>
      </c>
      <c r="D11" s="3" t="n">
        <v>48000</v>
      </c>
      <c r="E11" t="inlineStr">
        <is>
          <t>Hårdvara</t>
        </is>
      </c>
    </row>
    <row r="12">
      <c r="A12" s="2" t="n">
        <v>46046</v>
      </c>
      <c r="B12" s="3" t="n">
        <v>61000</v>
      </c>
      <c r="C12" s="3" t="n">
        <v>63000</v>
      </c>
      <c r="D12" s="3" t="n">
        <v>35000</v>
      </c>
      <c r="E12" t="inlineStr">
        <is>
          <t>Hårdvara</t>
        </is>
      </c>
    </row>
    <row r="13">
      <c r="A13" s="2" t="n">
        <v>46046</v>
      </c>
      <c r="B13" s="3" t="n">
        <v>38000</v>
      </c>
      <c r="C13" s="3" t="n">
        <v>47000</v>
      </c>
      <c r="D13" s="3" t="n">
        <v>24000</v>
      </c>
      <c r="E13" t="inlineStr">
        <is>
          <t>Konsulttjänster</t>
        </is>
      </c>
    </row>
    <row r="14">
      <c r="A14" s="2" t="n">
        <v>46050</v>
      </c>
      <c r="B14" s="3" t="n">
        <v>55000</v>
      </c>
      <c r="C14" s="3" t="n">
        <v>58000</v>
      </c>
      <c r="D14" s="3" t="n">
        <v>33000</v>
      </c>
      <c r="E14" t="inlineStr">
        <is>
          <t>Programvara</t>
        </is>
      </c>
    </row>
    <row r="15">
      <c r="A15" s="2" t="n">
        <v>46050</v>
      </c>
      <c r="B15" s="3" t="n">
        <v>68000</v>
      </c>
      <c r="C15" s="3" t="n">
        <v>70000</v>
      </c>
      <c r="D15" s="3" t="n">
        <v>42000</v>
      </c>
      <c r="E15" t="inlineStr">
        <is>
          <t>Hårdvara</t>
        </is>
      </c>
    </row>
    <row r="16">
      <c r="A16" s="2" t="n">
        <v>46069</v>
      </c>
      <c r="B16" s="3" t="n">
        <v>50000</v>
      </c>
      <c r="C16" s="3" t="n">
        <v>52000</v>
      </c>
      <c r="D16" s="3" t="n">
        <v>29000</v>
      </c>
      <c r="E16" t="inlineStr">
        <is>
          <t>Programvara</t>
        </is>
      </c>
    </row>
    <row r="17">
      <c r="A17" s="2" t="n">
        <v>46069</v>
      </c>
      <c r="B17" s="3" t="n">
        <v>53000</v>
      </c>
      <c r="C17" s="3" t="n">
        <v>61000</v>
      </c>
      <c r="D17" s="3" t="n">
        <v>31000</v>
      </c>
      <c r="E17" t="inlineStr">
        <is>
          <t>Hårdvara</t>
        </is>
      </c>
    </row>
    <row r="18">
      <c r="A18" s="2" t="n">
        <v>46070</v>
      </c>
      <c r="B18" s="3" t="n">
        <v>40000</v>
      </c>
      <c r="C18" s="3" t="n">
        <v>47000</v>
      </c>
      <c r="D18" s="3" t="n">
        <v>25000</v>
      </c>
      <c r="E18" t="inlineStr">
        <is>
          <t>Konsulttjänster</t>
        </is>
      </c>
    </row>
    <row r="19">
      <c r="A19" s="2" t="n">
        <v>46071</v>
      </c>
      <c r="B19" s="3" t="n">
        <v>73000</v>
      </c>
      <c r="C19" s="3" t="n">
        <v>67000</v>
      </c>
      <c r="D19" s="3" t="n">
        <v>47000</v>
      </c>
      <c r="E19" t="inlineStr">
        <is>
          <t>Hårdvara</t>
        </is>
      </c>
    </row>
    <row r="20">
      <c r="A20" s="2" t="n">
        <v>46072</v>
      </c>
      <c r="B20" s="3" t="n">
        <v>36000</v>
      </c>
      <c r="C20" s="3" t="n">
        <v>39000</v>
      </c>
      <c r="D20" s="3" t="n">
        <v>24000</v>
      </c>
      <c r="E20" t="inlineStr">
        <is>
          <t>Konsulttjänster</t>
        </is>
      </c>
    </row>
    <row r="21">
      <c r="A21" s="2" t="n">
        <v>46077</v>
      </c>
      <c r="B21" s="3" t="n">
        <v>54000</v>
      </c>
      <c r="C21" s="3" t="n">
        <v>51000</v>
      </c>
      <c r="D21" s="3" t="n">
        <v>29000</v>
      </c>
      <c r="E21" t="inlineStr">
        <is>
          <t>Programvara</t>
        </is>
      </c>
    </row>
    <row r="22">
      <c r="A22" s="2" t="n">
        <v>46077</v>
      </c>
      <c r="B22" s="3" t="n">
        <v>35000</v>
      </c>
      <c r="C22" s="3" t="n">
        <v>41000</v>
      </c>
      <c r="D22" s="3" t="n">
        <v>23000</v>
      </c>
      <c r="E22" t="inlineStr">
        <is>
          <t>Konsulttjänster</t>
        </is>
      </c>
    </row>
    <row r="23">
      <c r="A23" s="2" t="n">
        <v>46081</v>
      </c>
      <c r="B23" s="3" t="n">
        <v>62000</v>
      </c>
      <c r="C23" s="3" t="n">
        <v>55000</v>
      </c>
      <c r="D23" s="3" t="n">
        <v>37000</v>
      </c>
      <c r="E23" t="inlineStr">
        <is>
          <t>Programvara</t>
        </is>
      </c>
    </row>
    <row r="24">
      <c r="A24" s="2" t="n">
        <v>46081</v>
      </c>
      <c r="B24" s="3" t="n">
        <v>66000</v>
      </c>
      <c r="C24" s="3" t="n">
        <v>71000</v>
      </c>
      <c r="D24" s="3" t="n">
        <v>41000</v>
      </c>
      <c r="E24" t="inlineStr">
        <is>
          <t>Hårdvara</t>
        </is>
      </c>
    </row>
    <row r="25">
      <c r="A25" s="2" t="n">
        <v>46085</v>
      </c>
      <c r="B25" s="3" t="n">
        <v>44000</v>
      </c>
      <c r="C25" s="3" t="n">
        <v>42000</v>
      </c>
      <c r="D25" s="3" t="n">
        <v>30000</v>
      </c>
      <c r="E25" t="inlineStr">
        <is>
          <t>Konsulttjänster</t>
        </is>
      </c>
    </row>
    <row r="26">
      <c r="A26" s="2" t="n">
        <v>46087</v>
      </c>
      <c r="B26" s="3" t="n">
        <v>73000</v>
      </c>
      <c r="C26" s="3" t="n">
        <v>72000</v>
      </c>
      <c r="D26" s="3" t="n">
        <v>44000</v>
      </c>
      <c r="E26" t="inlineStr">
        <is>
          <t>Hårdvara</t>
        </is>
      </c>
    </row>
    <row r="27">
      <c r="A27" s="2" t="n">
        <v>46088</v>
      </c>
      <c r="B27" s="3" t="n">
        <v>78000</v>
      </c>
      <c r="C27" s="3" t="n">
        <v>61000</v>
      </c>
      <c r="D27" s="3" t="n">
        <v>48000</v>
      </c>
      <c r="E27" t="inlineStr">
        <is>
          <t>Programvara</t>
        </is>
      </c>
    </row>
    <row r="28">
      <c r="A28" s="2" t="n">
        <v>46090</v>
      </c>
      <c r="B28" s="3" t="n">
        <v>49000</v>
      </c>
      <c r="C28" s="3" t="n">
        <v>53000</v>
      </c>
      <c r="D28" s="3" t="n">
        <v>34000</v>
      </c>
      <c r="E28" t="inlineStr">
        <is>
          <t>Konsulttjänster</t>
        </is>
      </c>
    </row>
    <row r="29">
      <c r="A29" s="2" t="n">
        <v>46098</v>
      </c>
      <c r="B29" s="3" t="n">
        <v>82000</v>
      </c>
      <c r="C29" s="3" t="n">
        <v>73000</v>
      </c>
      <c r="D29" s="3" t="n">
        <v>53000</v>
      </c>
      <c r="E29" t="inlineStr">
        <is>
          <t>Hårdvara</t>
        </is>
      </c>
    </row>
    <row r="30">
      <c r="A30" s="2" t="n">
        <v>46099</v>
      </c>
      <c r="B30" s="3" t="n">
        <v>63000</v>
      </c>
      <c r="C30" s="3" t="n">
        <v>57000</v>
      </c>
      <c r="D30" s="3" t="n">
        <v>34000</v>
      </c>
      <c r="E30" t="inlineStr">
        <is>
          <t>Programvara</t>
        </is>
      </c>
    </row>
    <row r="31">
      <c r="A31" s="2" t="n">
        <v>46103</v>
      </c>
      <c r="B31" s="3" t="n">
        <v>69000</v>
      </c>
      <c r="C31" s="3" t="n">
        <v>54000</v>
      </c>
      <c r="D31" s="3" t="n">
        <v>39000</v>
      </c>
      <c r="E31" t="inlineStr">
        <is>
          <t>Programvara</t>
        </is>
      </c>
    </row>
    <row r="32">
      <c r="A32" s="2" t="n">
        <v>46108</v>
      </c>
      <c r="B32" s="3" t="n">
        <v>47000</v>
      </c>
      <c r="C32" s="3" t="n">
        <v>48000</v>
      </c>
      <c r="D32" s="3" t="n">
        <v>32000</v>
      </c>
      <c r="E32" t="inlineStr">
        <is>
          <t>Konsulttjänster</t>
        </is>
      </c>
    </row>
    <row r="33">
      <c r="A33" s="2" t="n">
        <v>46109</v>
      </c>
      <c r="B33" s="3" t="n">
        <v>81000</v>
      </c>
      <c r="C33" s="3" t="n">
        <v>77000</v>
      </c>
      <c r="D33" s="3" t="n">
        <v>52000</v>
      </c>
      <c r="E33" t="inlineStr">
        <is>
          <t>Hårdvara</t>
        </is>
      </c>
    </row>
    <row r="34">
      <c r="A34" s="2" t="n">
        <v>46113</v>
      </c>
      <c r="B34" s="3" t="n">
        <v>74000</v>
      </c>
      <c r="C34" s="3" t="n">
        <v>60000</v>
      </c>
      <c r="D34" s="3" t="n">
        <v>43000</v>
      </c>
      <c r="E34" t="inlineStr">
        <is>
          <t>Programvara</t>
        </is>
      </c>
    </row>
    <row r="35">
      <c r="A35" s="2" t="n">
        <v>46120</v>
      </c>
      <c r="B35" s="3" t="n">
        <v>72000</v>
      </c>
      <c r="C35" s="3" t="n">
        <v>73000</v>
      </c>
      <c r="D35" s="3" t="n">
        <v>44000</v>
      </c>
      <c r="E35" t="inlineStr">
        <is>
          <t>Hårdvara</t>
        </is>
      </c>
    </row>
    <row r="36">
      <c r="A36" s="2" t="n">
        <v>46120</v>
      </c>
      <c r="B36" s="3" t="n">
        <v>87000</v>
      </c>
      <c r="C36" s="3" t="n">
        <v>85000</v>
      </c>
      <c r="D36" s="3" t="n">
        <v>51000</v>
      </c>
      <c r="E36" t="inlineStr">
        <is>
          <t>Hårdvara</t>
        </is>
      </c>
    </row>
    <row r="37">
      <c r="A37" s="2" t="n">
        <v>46124</v>
      </c>
      <c r="B37" s="3" t="n">
        <v>74000</v>
      </c>
      <c r="C37" s="3" t="n">
        <v>82000</v>
      </c>
      <c r="D37" s="3" t="n">
        <v>43000</v>
      </c>
      <c r="E37" t="inlineStr">
        <is>
          <t>Hårdvara</t>
        </is>
      </c>
    </row>
    <row r="38">
      <c r="A38" s="2" t="n">
        <v>46124</v>
      </c>
      <c r="B38" s="3" t="n">
        <v>43000</v>
      </c>
      <c r="C38" s="3" t="n">
        <v>48000</v>
      </c>
      <c r="D38" s="3" t="n">
        <v>28000</v>
      </c>
      <c r="E38" t="inlineStr">
        <is>
          <t>Konsulttjänster</t>
        </is>
      </c>
    </row>
    <row r="39">
      <c r="A39" s="2" t="n">
        <v>46129</v>
      </c>
      <c r="B39" s="3" t="n">
        <v>73000</v>
      </c>
      <c r="C39" s="3" t="n">
        <v>61000</v>
      </c>
      <c r="D39" s="3" t="n">
        <v>39000</v>
      </c>
      <c r="E39" t="inlineStr">
        <is>
          <t>Programvara</t>
        </is>
      </c>
    </row>
    <row r="40">
      <c r="A40" s="2" t="n">
        <v>46130</v>
      </c>
      <c r="B40" s="3" t="n">
        <v>38000</v>
      </c>
      <c r="C40" s="3" t="n">
        <v>42000</v>
      </c>
      <c r="D40" s="3" t="n">
        <v>25000</v>
      </c>
      <c r="E40" t="inlineStr">
        <is>
          <t>Konsulttjänster</t>
        </is>
      </c>
    </row>
    <row r="41">
      <c r="A41" s="2" t="n">
        <v>46135</v>
      </c>
      <c r="B41" s="3" t="n">
        <v>42000</v>
      </c>
      <c r="C41" s="3" t="n">
        <v>47000</v>
      </c>
      <c r="D41" s="3" t="n">
        <v>28000</v>
      </c>
      <c r="E41" t="inlineStr">
        <is>
          <t>Konsulttjänster</t>
        </is>
      </c>
    </row>
    <row r="42">
      <c r="A42" s="2" t="n">
        <v>46136</v>
      </c>
      <c r="B42" s="3" t="n">
        <v>62000</v>
      </c>
      <c r="C42" s="3" t="n">
        <v>49000</v>
      </c>
      <c r="D42" s="3" t="n">
        <v>35000</v>
      </c>
      <c r="E42" t="inlineStr">
        <is>
          <t>Programvara</t>
        </is>
      </c>
    </row>
    <row r="43">
      <c r="A43" s="2" t="n">
        <v>46147</v>
      </c>
      <c r="B43" s="3" t="n">
        <v>49000</v>
      </c>
      <c r="C43" s="3" t="n">
        <v>54000</v>
      </c>
      <c r="D43" s="3" t="n">
        <v>29000</v>
      </c>
      <c r="E43" t="inlineStr">
        <is>
          <t>Programvara</t>
        </is>
      </c>
    </row>
    <row r="44">
      <c r="A44" s="2" t="n">
        <v>46152</v>
      </c>
      <c r="B44" s="3" t="n">
        <v>45000</v>
      </c>
      <c r="C44" s="3" t="n">
        <v>46000</v>
      </c>
      <c r="D44" s="3" t="n">
        <v>31000</v>
      </c>
      <c r="E44" t="inlineStr">
        <is>
          <t>Konsulttjänster</t>
        </is>
      </c>
    </row>
    <row r="45">
      <c r="A45" s="2" t="n">
        <v>46154</v>
      </c>
      <c r="B45" s="3" t="n">
        <v>54000</v>
      </c>
      <c r="C45" s="3" t="n">
        <v>54000</v>
      </c>
      <c r="D45" s="3" t="n">
        <v>32000</v>
      </c>
      <c r="E45" t="inlineStr">
        <is>
          <t>Programvara</t>
        </is>
      </c>
    </row>
    <row r="46">
      <c r="A46" s="2" t="n">
        <v>46155</v>
      </c>
      <c r="B46" s="3" t="n">
        <v>63000</v>
      </c>
      <c r="C46" s="3" t="n">
        <v>71000</v>
      </c>
      <c r="D46" s="3" t="n">
        <v>41000</v>
      </c>
      <c r="E46" t="inlineStr">
        <is>
          <t>Hårdvara</t>
        </is>
      </c>
    </row>
    <row r="47">
      <c r="A47" s="2" t="n">
        <v>46156</v>
      </c>
      <c r="B47" s="3" t="n">
        <v>62000</v>
      </c>
      <c r="C47" s="3" t="n">
        <v>56000</v>
      </c>
      <c r="D47" s="3" t="n">
        <v>38000</v>
      </c>
      <c r="E47" t="inlineStr">
        <is>
          <t>Programvara</t>
        </is>
      </c>
    </row>
    <row r="48">
      <c r="A48" s="2" t="n">
        <v>46159</v>
      </c>
      <c r="B48" s="3" t="n">
        <v>64000</v>
      </c>
      <c r="C48" s="3" t="n">
        <v>74000</v>
      </c>
      <c r="D48" s="3" t="n">
        <v>38000</v>
      </c>
      <c r="E48" t="inlineStr">
        <is>
          <t>Hårdvara</t>
        </is>
      </c>
    </row>
    <row r="49">
      <c r="A49" s="2" t="n">
        <v>46165</v>
      </c>
      <c r="B49" s="3" t="n">
        <v>42000</v>
      </c>
      <c r="C49" s="3" t="n">
        <v>53000</v>
      </c>
      <c r="D49" s="3" t="n">
        <v>27000</v>
      </c>
      <c r="E49" t="inlineStr">
        <is>
          <t>Konsulttjänster</t>
        </is>
      </c>
    </row>
    <row r="50">
      <c r="A50" s="2" t="n">
        <v>46167</v>
      </c>
      <c r="B50" s="3" t="n">
        <v>38000</v>
      </c>
      <c r="C50" s="3" t="n">
        <v>47000</v>
      </c>
      <c r="D50" s="3" t="n">
        <v>25000</v>
      </c>
      <c r="E50" t="inlineStr">
        <is>
          <t>Konsulttjänster</t>
        </is>
      </c>
    </row>
    <row r="51">
      <c r="A51" s="2" t="n">
        <v>46170</v>
      </c>
      <c r="B51" s="3" t="n">
        <v>89000</v>
      </c>
      <c r="C51" s="3" t="n">
        <v>79000</v>
      </c>
      <c r="D51" s="3" t="n">
        <v>57000</v>
      </c>
      <c r="E51" t="inlineStr">
        <is>
          <t>Hårdvara</t>
        </is>
      </c>
    </row>
    <row r="52">
      <c r="A52" s="2" t="n">
        <v>46174</v>
      </c>
      <c r="B52" s="3" t="n">
        <v>82000</v>
      </c>
      <c r="C52" s="3" t="n">
        <v>68000</v>
      </c>
      <c r="D52" s="3" t="n">
        <v>46000</v>
      </c>
      <c r="E52" t="inlineStr">
        <is>
          <t>Programvara</t>
        </is>
      </c>
    </row>
    <row r="53">
      <c r="A53" s="2" t="n">
        <v>46176</v>
      </c>
      <c r="B53" s="3" t="n">
        <v>75000</v>
      </c>
      <c r="C53" s="3" t="n">
        <v>67000</v>
      </c>
      <c r="D53" s="3" t="n">
        <v>48000</v>
      </c>
      <c r="E53" t="inlineStr">
        <is>
          <t>Hårdvara</t>
        </is>
      </c>
    </row>
    <row r="54">
      <c r="A54" s="2" t="n">
        <v>46176</v>
      </c>
      <c r="B54" s="3" t="n">
        <v>46000</v>
      </c>
      <c r="C54" s="3" t="n">
        <v>44000</v>
      </c>
      <c r="D54" s="3" t="n">
        <v>29000</v>
      </c>
      <c r="E54" t="inlineStr">
        <is>
          <t>Konsulttjänster</t>
        </is>
      </c>
    </row>
    <row r="55">
      <c r="A55" s="2" t="n">
        <v>46180</v>
      </c>
      <c r="B55" s="3" t="n">
        <v>79000</v>
      </c>
      <c r="C55" s="3" t="n">
        <v>79000</v>
      </c>
      <c r="D55" s="3" t="n">
        <v>50000</v>
      </c>
      <c r="E55" t="inlineStr">
        <is>
          <t>Hårdvara</t>
        </is>
      </c>
    </row>
    <row r="56">
      <c r="A56" s="2" t="n">
        <v>46191</v>
      </c>
      <c r="B56" s="3" t="n">
        <v>50000</v>
      </c>
      <c r="C56" s="3" t="n">
        <v>48000</v>
      </c>
      <c r="D56" s="3" t="n">
        <v>32000</v>
      </c>
      <c r="E56" t="inlineStr">
        <is>
          <t>Konsulttjänster</t>
        </is>
      </c>
    </row>
    <row r="57">
      <c r="A57" s="2" t="n">
        <v>46192</v>
      </c>
      <c r="B57" s="3" t="n">
        <v>88000</v>
      </c>
      <c r="C57" s="3" t="n">
        <v>67000</v>
      </c>
      <c r="D57" s="3" t="n">
        <v>52000</v>
      </c>
      <c r="E57" t="inlineStr">
        <is>
          <t>Programvara</t>
        </is>
      </c>
    </row>
    <row r="58">
      <c r="A58" s="2" t="n">
        <v>46192</v>
      </c>
      <c r="B58" s="3" t="n">
        <v>60000</v>
      </c>
      <c r="C58" s="3" t="n">
        <v>53000</v>
      </c>
      <c r="D58" s="3" t="n">
        <v>35000</v>
      </c>
      <c r="E58" t="inlineStr">
        <is>
          <t>Programvara</t>
        </is>
      </c>
    </row>
    <row r="59">
      <c r="A59" s="2" t="n">
        <v>46194</v>
      </c>
      <c r="B59" s="3" t="n">
        <v>63000</v>
      </c>
      <c r="C59" s="3" t="n">
        <v>69000</v>
      </c>
      <c r="D59" s="3" t="n">
        <v>39000</v>
      </c>
      <c r="E59" t="inlineStr">
        <is>
          <t>Hårdvara</t>
        </is>
      </c>
    </row>
    <row r="60">
      <c r="A60" s="2" t="n">
        <v>46196</v>
      </c>
      <c r="B60" s="3" t="n">
        <v>54000</v>
      </c>
      <c r="C60" s="3" t="n">
        <v>56000</v>
      </c>
      <c r="D60" s="3" t="n">
        <v>36000</v>
      </c>
      <c r="E60" t="inlineStr">
        <is>
          <t>Konsulttjänster</t>
        </is>
      </c>
    </row>
  </sheetData>
  <mergeCells count="1">
    <mergeCell ref="G2:G5"/>
  </mergeCells>
  <printOptions headings="1" gridLines="1"/>
  <pageMargins left="0.75" right="0.75" top="1" bottom="1" header="0.5" footer="0.5"/>
  <pageSetup orientation="portrait" paperSize="9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3"/>
  <sheetViews>
    <sheetView tabSelected="0"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6" customWidth="1" min="6" max="6"/>
    <col width="3" customWidth="1" min="7" max="7"/>
    <col width="24" customWidth="1" min="8" max="8"/>
    <col width="13" customWidth="1" min="9" max="9"/>
    <col width="2" customWidth="1" min="10" max="10"/>
    <col width="2" customWidth="1" min="11" max="11"/>
    <col width="2" customWidth="1" min="12" max="12"/>
    <col width="2" customWidth="1" min="13" max="13"/>
    <col width="2" customWidth="1" min="14" max="14"/>
    <col width="2" customWidth="1" min="15" max="15"/>
    <col width="17" customWidth="1" min="16" max="16"/>
    <col width="12" customWidth="1" min="17" max="17"/>
  </cols>
  <sheetData>
    <row r="1">
      <c r="A1" s="5" t="inlineStr">
        <is>
          <t>Beräkningar — hjälpblad med SUMMA.OMF (SUMIFS) i stället för pivottabeller</t>
        </is>
      </c>
      <c r="H1" s="1" t="inlineStr">
        <is>
          <t>Hypotetiskt exempel — orova.vn</t>
        </is>
      </c>
    </row>
    <row r="2">
      <c r="A2" s="1" t="inlineStr">
        <is>
          <t>Alla tal är formler som läser TabellFörsäljning och följer valen på Dashboard (C3 och F3). I Excel kan du bygga samma sak med pivottabeller och utsnitt som i steg 2 och 5 i guiden.</t>
        </is>
      </c>
      <c r="P2" s="1" t="inlineStr">
        <is>
          <t>Listor till listrutorna</t>
        </is>
      </c>
    </row>
    <row r="3" ht="30" customHeight="1">
      <c r="A3" s="6" t="inlineStr">
        <is>
          <t>Nyckeltal (valt urval)</t>
        </is>
      </c>
      <c r="B3" s="6" t="inlineStr">
        <is>
          <t>Försäljning</t>
        </is>
      </c>
      <c r="C3" s="6" t="inlineStr">
        <is>
          <t>Mål</t>
        </is>
      </c>
      <c r="D3" s="6" t="inlineStr">
        <is>
          <t>Måluppfyllelse</t>
        </is>
      </c>
      <c r="E3" s="6" t="inlineStr">
        <is>
          <t>Kostnad</t>
        </is>
      </c>
      <c r="F3" s="6" t="inlineStr">
        <is>
          <t>Bruttomarginal</t>
        </is>
      </c>
      <c r="G3" s="7" t="n"/>
      <c r="H3" s="6" t="inlineStr">
        <is>
          <t>Filter från Dashboard</t>
        </is>
      </c>
      <c r="I3" s="6" t="inlineStr">
        <is>
          <t>Värde</t>
        </is>
      </c>
      <c r="J3" s="7" t="n"/>
      <c r="K3" s="7" t="n"/>
      <c r="L3" s="7" t="n"/>
      <c r="M3" s="7" t="n"/>
      <c r="N3" s="7" t="n"/>
      <c r="O3" s="7" t="n"/>
      <c r="P3" s="6" t="inlineStr">
        <is>
          <t>Kategori</t>
        </is>
      </c>
      <c r="Q3" s="6" t="inlineStr">
        <is>
          <t>Månad</t>
        </is>
      </c>
    </row>
    <row r="4">
      <c r="A4" s="8" t="inlineStr">
        <is>
          <t>Totalt</t>
        </is>
      </c>
      <c r="B4" s="9">
        <f>SUMIFS(TabellFörsäljning[Försäljning],TabellFörsäljning[Kategori],IF(Dashboard!C3="Alla","*",Dashboard!C3),TabellFörsäljning[Datum],"&gt;="&amp;$I$8,TabellFörsäljning[Datum],"&lt;"&amp;$I$9)</f>
        <v/>
      </c>
      <c r="C4" s="9">
        <f>SUMIFS(TabellFörsäljning[Mål],TabellFörsäljning[Kategori],IF(Dashboard!C3="Alla","*",Dashboard!C3),TabellFörsäljning[Datum],"&gt;="&amp;$I$8,TabellFörsäljning[Datum],"&lt;"&amp;$I$9)</f>
        <v/>
      </c>
      <c r="D4" s="10">
        <f>IF(C4=0,"",B4/C4)</f>
        <v/>
      </c>
      <c r="E4" s="9">
        <f>SUMIFS(TabellFörsäljning[Kostnad],TabellFörsäljning[Kategori],IF(Dashboard!C3="Alla","*",Dashboard!C3),TabellFörsäljning[Datum],"&gt;="&amp;$I$8,TabellFörsäljning[Datum],"&lt;"&amp;$I$9)</f>
        <v/>
      </c>
      <c r="F4" s="9">
        <f>B4-E4</f>
        <v/>
      </c>
      <c r="H4" s="11" t="inlineStr">
        <is>
          <t>Kategori (Dashboard!C3)</t>
        </is>
      </c>
      <c r="I4" s="12">
        <f>Dashboard!$C$3</f>
        <v/>
      </c>
      <c r="P4" t="inlineStr">
        <is>
          <t>Alla</t>
        </is>
      </c>
      <c r="Q4" t="inlineStr">
        <is>
          <t>Alla</t>
        </is>
      </c>
    </row>
    <row r="5">
      <c r="A5" s="13" t="inlineStr">
        <is>
          <t>B4 = total försäljning (KPI-kortet =Beräkningar!B4), C4 = mål, D4 = hjälpcellen =B4/C4 för måluppfyllelse.</t>
        </is>
      </c>
      <c r="H5" s="11" t="inlineStr">
        <is>
          <t>Månad (Dashboard!F3)</t>
        </is>
      </c>
      <c r="I5" s="12">
        <f>Dashboard!$F$3</f>
        <v/>
      </c>
      <c r="P5" t="inlineStr">
        <is>
          <t>Programvara</t>
        </is>
      </c>
      <c r="Q5" t="inlineStr">
        <is>
          <t>Januari</t>
        </is>
      </c>
    </row>
    <row r="6">
      <c r="H6" s="11" t="inlineStr">
        <is>
          <t>Kriterium kategori</t>
        </is>
      </c>
      <c r="I6" s="12">
        <f>IF(I4="Alla","*",I4)</f>
        <v/>
      </c>
      <c r="P6" t="inlineStr">
        <is>
          <t>Hårdvara</t>
        </is>
      </c>
      <c r="Q6" t="inlineStr">
        <is>
          <t>Februari</t>
        </is>
      </c>
    </row>
    <row r="7">
      <c r="A7" s="14" t="inlineStr">
        <is>
          <t>Per kategori (vald månad) — motsvarar pivottabellen Kategori i steg 2</t>
        </is>
      </c>
      <c r="H7" s="11" t="inlineStr">
        <is>
          <t>Månadsnr (0 = alla)</t>
        </is>
      </c>
      <c r="I7" s="15">
        <f>MATCH(I5,$Q$4:$Q$10,0)-1</f>
        <v/>
      </c>
      <c r="P7" t="inlineStr">
        <is>
          <t>Konsulttjänster</t>
        </is>
      </c>
      <c r="Q7" t="inlineStr">
        <is>
          <t>Mars</t>
        </is>
      </c>
    </row>
    <row r="8">
      <c r="A8" s="6" t="inlineStr">
        <is>
          <t>Kategori</t>
        </is>
      </c>
      <c r="B8" s="6" t="inlineStr">
        <is>
          <t>Försäljning</t>
        </is>
      </c>
      <c r="C8" s="6" t="inlineStr">
        <is>
          <t>Mål</t>
        </is>
      </c>
      <c r="D8" s="6" t="inlineStr">
        <is>
          <t>Måluppfyllelse</t>
        </is>
      </c>
      <c r="E8" s="6" t="inlineStr">
        <is>
          <t>Kostnad</t>
        </is>
      </c>
      <c r="F8" s="6" t="inlineStr">
        <is>
          <t>Bruttomarginal</t>
        </is>
      </c>
      <c r="H8" s="11" t="inlineStr">
        <is>
          <t>Period från</t>
        </is>
      </c>
      <c r="I8" s="16">
        <f>IF(I7=0,DATE(2026,1,1),DATE(2026,I7,1))</f>
        <v/>
      </c>
      <c r="Q8" t="inlineStr">
        <is>
          <t>April</t>
        </is>
      </c>
    </row>
    <row r="9">
      <c r="A9" s="11" t="inlineStr">
        <is>
          <t>Programvara</t>
        </is>
      </c>
      <c r="B9" s="17">
        <f>SUMIFS(TabellFörsäljning[Försäljning],TabellFörsäljning[Kategori],A9,TabellFörsäljning[Datum],"&gt;="&amp;$I$8,TabellFörsäljning[Datum],"&lt;"&amp;$I$9)</f>
        <v/>
      </c>
      <c r="C9" s="17">
        <f>SUMIFS(TabellFörsäljning[Mål],TabellFörsäljning[Kategori],A9,TabellFörsäljning[Datum],"&gt;="&amp;$I$8,TabellFörsäljning[Datum],"&lt;"&amp;$I$9)</f>
        <v/>
      </c>
      <c r="D9" s="18">
        <f>IF(C9=0,"",B9/C9)</f>
        <v/>
      </c>
      <c r="E9" s="17">
        <f>SUMIFS(TabellFörsäljning[Kostnad],TabellFörsäljning[Kategori],A9,TabellFörsäljning[Datum],"&gt;="&amp;$I$8,TabellFörsäljning[Datum],"&lt;"&amp;$I$9)</f>
        <v/>
      </c>
      <c r="F9" s="17">
        <f>B9-E9</f>
        <v/>
      </c>
      <c r="H9" s="11" t="inlineStr">
        <is>
          <t>Period till (ej med)</t>
        </is>
      </c>
      <c r="I9" s="16">
        <f>IF(I7=0,DATE(2027,1,1),DATE(2026,I7+1,1))</f>
        <v/>
      </c>
      <c r="Q9" t="inlineStr">
        <is>
          <t>Maj</t>
        </is>
      </c>
    </row>
    <row r="10">
      <c r="A10" s="11" t="inlineStr">
        <is>
          <t>Hårdvara</t>
        </is>
      </c>
      <c r="B10" s="17">
        <f>SUMIFS(TabellFörsäljning[Försäljning],TabellFörsäljning[Kategori],A10,TabellFörsäljning[Datum],"&gt;="&amp;$I$8,TabellFörsäljning[Datum],"&lt;"&amp;$I$9)</f>
        <v/>
      </c>
      <c r="C10" s="17">
        <f>SUMIFS(TabellFörsäljning[Mål],TabellFörsäljning[Kategori],A10,TabellFörsäljning[Datum],"&gt;="&amp;$I$8,TabellFörsäljning[Datum],"&lt;"&amp;$I$9)</f>
        <v/>
      </c>
      <c r="D10" s="18">
        <f>IF(C10=0,"",B10/C10)</f>
        <v/>
      </c>
      <c r="E10" s="17">
        <f>SUMIFS(TabellFörsäljning[Kostnad],TabellFörsäljning[Kategori],A10,TabellFörsäljning[Datum],"&gt;="&amp;$I$8,TabellFörsäljning[Datum],"&lt;"&amp;$I$9)</f>
        <v/>
      </c>
      <c r="F10" s="17">
        <f>B10-E10</f>
        <v/>
      </c>
      <c r="Q10" t="inlineStr">
        <is>
          <t>Juni</t>
        </is>
      </c>
    </row>
    <row r="11">
      <c r="A11" s="11" t="inlineStr">
        <is>
          <t>Konsulttjänster</t>
        </is>
      </c>
      <c r="B11" s="17">
        <f>SUMIFS(TabellFörsäljning[Försäljning],TabellFörsäljning[Kategori],A11,TabellFörsäljning[Datum],"&gt;="&amp;$I$8,TabellFörsäljning[Datum],"&lt;"&amp;$I$9)</f>
        <v/>
      </c>
      <c r="C11" s="17">
        <f>SUMIFS(TabellFörsäljning[Mål],TabellFörsäljning[Kategori],A11,TabellFörsäljning[Datum],"&gt;="&amp;$I$8,TabellFörsäljning[Datum],"&lt;"&amp;$I$9)</f>
        <v/>
      </c>
      <c r="D11" s="18">
        <f>IF(C11=0,"",B11/C11)</f>
        <v/>
      </c>
      <c r="E11" s="17">
        <f>SUMIFS(TabellFörsäljning[Kostnad],TabellFörsäljning[Kategori],A11,TabellFörsäljning[Datum],"&gt;="&amp;$I$8,TabellFörsäljning[Datum],"&lt;"&amp;$I$9)</f>
        <v/>
      </c>
      <c r="F11" s="17">
        <f>B11-E11</f>
        <v/>
      </c>
    </row>
    <row r="12">
      <c r="A12" s="8" t="inlineStr">
        <is>
          <t>Totalt</t>
        </is>
      </c>
      <c r="B12" s="9">
        <f>SUM(B9:B11)</f>
        <v/>
      </c>
      <c r="C12" s="9">
        <f>SUM(C9:C11)</f>
        <v/>
      </c>
      <c r="D12" s="10">
        <f>IF(C12=0,"",B12/C12)</f>
        <v/>
      </c>
      <c r="E12" s="9">
        <f>SUM(E9:E11)</f>
        <v/>
      </c>
      <c r="F12" s="9">
        <f>SUM(F9:F11)</f>
        <v/>
      </c>
    </row>
    <row r="15">
      <c r="A15" s="14" t="inlineStr">
        <is>
          <t>Per månad (vald kategori) — motsvarar pivottabellen med Datum i steg 2</t>
        </is>
      </c>
    </row>
    <row r="16">
      <c r="A16" s="6" t="inlineStr">
        <is>
          <t>Månad</t>
        </is>
      </c>
      <c r="B16" s="6" t="inlineStr">
        <is>
          <t>Försäljning</t>
        </is>
      </c>
      <c r="C16" s="6" t="inlineStr">
        <is>
          <t>Mål</t>
        </is>
      </c>
      <c r="D16" s="6" t="inlineStr">
        <is>
          <t>Måluppfyllelse</t>
        </is>
      </c>
      <c r="E16" s="6" t="inlineStr">
        <is>
          <t>Kostnad</t>
        </is>
      </c>
      <c r="F16" s="6" t="inlineStr">
        <is>
          <t>Bruttomarginal</t>
        </is>
      </c>
    </row>
    <row r="17">
      <c r="A17" s="11" t="inlineStr">
        <is>
          <t>jan 2026</t>
        </is>
      </c>
      <c r="B17" s="17">
        <f>SUMIFS(TabellFörsäljning[Försäljning],TabellFörsäljning[Kategori],$I$6,TabellFörsäljning[Datum],"&gt;="&amp;DATE(2026,1,1),TabellFörsäljning[Datum],"&lt;"&amp;DATE(2026,2,1))</f>
        <v/>
      </c>
      <c r="C17" s="17">
        <f>SUMIFS(TabellFörsäljning[Mål],TabellFörsäljning[Kategori],$I$6,TabellFörsäljning[Datum],"&gt;="&amp;DATE(2026,1,1),TabellFörsäljning[Datum],"&lt;"&amp;DATE(2026,2,1))</f>
        <v/>
      </c>
      <c r="D17" s="18">
        <f>IF(C17=0,"",B17/C17)</f>
        <v/>
      </c>
      <c r="E17" s="17">
        <f>SUMIFS(TabellFörsäljning[Kostnad],TabellFörsäljning[Kategori],$I$6,TabellFörsäljning[Datum],"&gt;="&amp;DATE(2026,1,1),TabellFörsäljning[Datum],"&lt;"&amp;DATE(2026,2,1))</f>
        <v/>
      </c>
      <c r="F17" s="17">
        <f>B17-E17</f>
        <v/>
      </c>
    </row>
    <row r="18">
      <c r="A18" s="11" t="inlineStr">
        <is>
          <t>feb 2026</t>
        </is>
      </c>
      <c r="B18" s="17">
        <f>SUMIFS(TabellFörsäljning[Försäljning],TabellFörsäljning[Kategori],$I$6,TabellFörsäljning[Datum],"&gt;="&amp;DATE(2026,2,1),TabellFörsäljning[Datum],"&lt;"&amp;DATE(2026,3,1))</f>
        <v/>
      </c>
      <c r="C18" s="17">
        <f>SUMIFS(TabellFörsäljning[Mål],TabellFörsäljning[Kategori],$I$6,TabellFörsäljning[Datum],"&gt;="&amp;DATE(2026,2,1),TabellFörsäljning[Datum],"&lt;"&amp;DATE(2026,3,1))</f>
        <v/>
      </c>
      <c r="D18" s="18">
        <f>IF(C18=0,"",B18/C18)</f>
        <v/>
      </c>
      <c r="E18" s="17">
        <f>SUMIFS(TabellFörsäljning[Kostnad],TabellFörsäljning[Kategori],$I$6,TabellFörsäljning[Datum],"&gt;="&amp;DATE(2026,2,1),TabellFörsäljning[Datum],"&lt;"&amp;DATE(2026,3,1))</f>
        <v/>
      </c>
      <c r="F18" s="17">
        <f>B18-E18</f>
        <v/>
      </c>
    </row>
    <row r="19">
      <c r="A19" s="11" t="inlineStr">
        <is>
          <t>mar 2026</t>
        </is>
      </c>
      <c r="B19" s="17">
        <f>SUMIFS(TabellFörsäljning[Försäljning],TabellFörsäljning[Kategori],$I$6,TabellFörsäljning[Datum],"&gt;="&amp;DATE(2026,3,1),TabellFörsäljning[Datum],"&lt;"&amp;DATE(2026,4,1))</f>
        <v/>
      </c>
      <c r="C19" s="17">
        <f>SUMIFS(TabellFörsäljning[Mål],TabellFörsäljning[Kategori],$I$6,TabellFörsäljning[Datum],"&gt;="&amp;DATE(2026,3,1),TabellFörsäljning[Datum],"&lt;"&amp;DATE(2026,4,1))</f>
        <v/>
      </c>
      <c r="D19" s="18">
        <f>IF(C19=0,"",B19/C19)</f>
        <v/>
      </c>
      <c r="E19" s="17">
        <f>SUMIFS(TabellFörsäljning[Kostnad],TabellFörsäljning[Kategori],$I$6,TabellFörsäljning[Datum],"&gt;="&amp;DATE(2026,3,1),TabellFörsäljning[Datum],"&lt;"&amp;DATE(2026,4,1))</f>
        <v/>
      </c>
      <c r="F19" s="17">
        <f>B19-E19</f>
        <v/>
      </c>
    </row>
    <row r="20">
      <c r="A20" s="11" t="inlineStr">
        <is>
          <t>apr 2026</t>
        </is>
      </c>
      <c r="B20" s="17">
        <f>SUMIFS(TabellFörsäljning[Försäljning],TabellFörsäljning[Kategori],$I$6,TabellFörsäljning[Datum],"&gt;="&amp;DATE(2026,4,1),TabellFörsäljning[Datum],"&lt;"&amp;DATE(2026,5,1))</f>
        <v/>
      </c>
      <c r="C20" s="17">
        <f>SUMIFS(TabellFörsäljning[Mål],TabellFörsäljning[Kategori],$I$6,TabellFörsäljning[Datum],"&gt;="&amp;DATE(2026,4,1),TabellFörsäljning[Datum],"&lt;"&amp;DATE(2026,5,1))</f>
        <v/>
      </c>
      <c r="D20" s="18">
        <f>IF(C20=0,"",B20/C20)</f>
        <v/>
      </c>
      <c r="E20" s="17">
        <f>SUMIFS(TabellFörsäljning[Kostnad],TabellFörsäljning[Kategori],$I$6,TabellFörsäljning[Datum],"&gt;="&amp;DATE(2026,4,1),TabellFörsäljning[Datum],"&lt;"&amp;DATE(2026,5,1))</f>
        <v/>
      </c>
      <c r="F20" s="17">
        <f>B20-E20</f>
        <v/>
      </c>
    </row>
    <row r="21">
      <c r="A21" s="11" t="inlineStr">
        <is>
          <t>maj 2026</t>
        </is>
      </c>
      <c r="B21" s="17">
        <f>SUMIFS(TabellFörsäljning[Försäljning],TabellFörsäljning[Kategori],$I$6,TabellFörsäljning[Datum],"&gt;="&amp;DATE(2026,5,1),TabellFörsäljning[Datum],"&lt;"&amp;DATE(2026,6,1))</f>
        <v/>
      </c>
      <c r="C21" s="17">
        <f>SUMIFS(TabellFörsäljning[Mål],TabellFörsäljning[Kategori],$I$6,TabellFörsäljning[Datum],"&gt;="&amp;DATE(2026,5,1),TabellFörsäljning[Datum],"&lt;"&amp;DATE(2026,6,1))</f>
        <v/>
      </c>
      <c r="D21" s="18">
        <f>IF(C21=0,"",B21/C21)</f>
        <v/>
      </c>
      <c r="E21" s="17">
        <f>SUMIFS(TabellFörsäljning[Kostnad],TabellFörsäljning[Kategori],$I$6,TabellFörsäljning[Datum],"&gt;="&amp;DATE(2026,5,1),TabellFörsäljning[Datum],"&lt;"&amp;DATE(2026,6,1))</f>
        <v/>
      </c>
      <c r="F21" s="17">
        <f>B21-E21</f>
        <v/>
      </c>
    </row>
    <row r="22">
      <c r="A22" s="11" t="inlineStr">
        <is>
          <t>jun 2026</t>
        </is>
      </c>
      <c r="B22" s="17">
        <f>SUMIFS(TabellFörsäljning[Försäljning],TabellFörsäljning[Kategori],$I$6,TabellFörsäljning[Datum],"&gt;="&amp;DATE(2026,6,1),TabellFörsäljning[Datum],"&lt;"&amp;DATE(2026,7,1))</f>
        <v/>
      </c>
      <c r="C22" s="17">
        <f>SUMIFS(TabellFörsäljning[Mål],TabellFörsäljning[Kategori],$I$6,TabellFörsäljning[Datum],"&gt;="&amp;DATE(2026,6,1),TabellFörsäljning[Datum],"&lt;"&amp;DATE(2026,7,1))</f>
        <v/>
      </c>
      <c r="D22" s="18">
        <f>IF(C22=0,"",B22/C22)</f>
        <v/>
      </c>
      <c r="E22" s="17">
        <f>SUMIFS(TabellFörsäljning[Kostnad],TabellFörsäljning[Kategori],$I$6,TabellFörsäljning[Datum],"&gt;="&amp;DATE(2026,6,1),TabellFörsäljning[Datum],"&lt;"&amp;DATE(2026,7,1))</f>
        <v/>
      </c>
      <c r="F22" s="17">
        <f>B22-E22</f>
        <v/>
      </c>
    </row>
    <row r="23">
      <c r="A23" s="8" t="inlineStr">
        <is>
          <t>Totalt</t>
        </is>
      </c>
      <c r="B23" s="9">
        <f>SUM(B17:B22)</f>
        <v/>
      </c>
      <c r="C23" s="9">
        <f>SUM(C17:C22)</f>
        <v/>
      </c>
      <c r="D23" s="10">
        <f>IF(C23=0,"",B23/C23)</f>
        <v/>
      </c>
      <c r="E23" s="9">
        <f>SUM(E17:E22)</f>
        <v/>
      </c>
      <c r="F23" s="9">
        <f>SUM(F17:F22)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1" gridLines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Q29"/>
  <sheetViews>
    <sheetView showGridLines="0" showRowColHeaders="0" tabSelected="1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2" customWidth="1" min="18" max="18"/>
  </cols>
  <sheetData>
    <row r="1" ht="32" customHeight="1">
      <c r="B1" s="19" t="inlineStr">
        <is>
          <t>Försäljningsdashboard 2026 — försäljning mot mål</t>
        </is>
      </c>
      <c r="M1" s="20" t="inlineStr">
        <is>
          <t>Hypotetiskt exempel — orova.vn</t>
        </is>
      </c>
    </row>
    <row r="2" ht="6" customHeight="1"/>
    <row r="3" ht="24" customHeight="1">
      <c r="B3" s="21" t="inlineStr">
        <is>
          <t>Kategori</t>
        </is>
      </c>
      <c r="C3" s="22" t="inlineStr">
        <is>
          <t>Alla</t>
        </is>
      </c>
      <c r="D3" s="23" t="n"/>
      <c r="E3" s="21" t="inlineStr">
        <is>
          <t>Månad</t>
        </is>
      </c>
      <c r="F3" s="22" t="inlineStr">
        <is>
          <t>Alla</t>
        </is>
      </c>
      <c r="G3" s="23" t="n"/>
      <c r="H3" s="24" t="inlineStr">
        <is>
          <t>← välj i listrutorna (Data &gt; Dataverifiering &gt; Lista)</t>
        </is>
      </c>
    </row>
    <row r="4" ht="8" customHeight="1"/>
    <row r="5" ht="20" customHeight="1">
      <c r="B5" s="25" t="inlineStr">
        <is>
          <t>TOTAL FÖRSÄLJNING</t>
        </is>
      </c>
      <c r="C5" s="26" t="n"/>
      <c r="D5" s="26" t="n"/>
      <c r="E5" s="27" t="n"/>
      <c r="F5" s="25" t="inlineStr">
        <is>
          <t>MÅL</t>
        </is>
      </c>
      <c r="G5" s="26" t="n"/>
      <c r="H5" s="26" t="n"/>
      <c r="I5" s="27" t="n"/>
      <c r="J5" s="25" t="inlineStr">
        <is>
          <t>MÅLUPPFYLLELSE</t>
        </is>
      </c>
      <c r="K5" s="26" t="n"/>
      <c r="L5" s="26" t="n"/>
      <c r="M5" s="27" t="n"/>
      <c r="N5" s="25" t="inlineStr">
        <is>
          <t>BRUTTOMARGINAL</t>
        </is>
      </c>
      <c r="O5" s="26" t="n"/>
      <c r="P5" s="26" t="n"/>
      <c r="Q5" s="27" t="n"/>
    </row>
    <row r="6" ht="38" customHeight="1">
      <c r="B6" s="28">
        <f>Beräkningar!B4</f>
        <v/>
      </c>
      <c r="C6" s="29" t="n"/>
      <c r="D6" s="29" t="n"/>
      <c r="E6" s="30" t="n"/>
      <c r="F6" s="28">
        <f>Beräkningar!C4</f>
        <v/>
      </c>
      <c r="G6" s="29" t="n"/>
      <c r="H6" s="29" t="n"/>
      <c r="I6" s="30" t="n"/>
      <c r="J6" s="31">
        <f>Beräkningar!D4</f>
        <v/>
      </c>
      <c r="K6" s="29" t="n"/>
      <c r="L6" s="29" t="n"/>
      <c r="M6" s="30" t="n"/>
      <c r="N6" s="28">
        <f>Beräkningar!F4</f>
        <v/>
      </c>
      <c r="O6" s="29" t="n"/>
      <c r="P6" s="29" t="n"/>
      <c r="Q6" s="30" t="n"/>
    </row>
    <row r="7" ht="20" customHeight="1">
      <c r="B7" s="32">
        <f>Beräkningar!D4</f>
        <v/>
      </c>
      <c r="C7" s="33" t="n"/>
      <c r="D7" s="33" t="n"/>
      <c r="E7" s="34" t="n"/>
      <c r="F7" s="35" t="inlineStr">
        <is>
          <t>Summa av kolumnen Mål</t>
        </is>
      </c>
      <c r="G7" s="33" t="n"/>
      <c r="H7" s="33" t="n"/>
      <c r="I7" s="34" t="n"/>
      <c r="J7" s="35" t="inlineStr">
        <is>
          <t>Grön pil = 100 % eller mer, röd pil = under målet</t>
        </is>
      </c>
      <c r="K7" s="33" t="n"/>
      <c r="L7" s="33" t="n"/>
      <c r="M7" s="34" t="n"/>
      <c r="N7" s="36">
        <f>IF(Beräkningar!B4=0,"",Beräkningar!F4/Beräkningar!B4)</f>
        <v/>
      </c>
      <c r="O7" s="33" t="n"/>
      <c r="P7" s="33" t="n"/>
      <c r="Q7" s="34" t="n"/>
    </row>
    <row r="27" ht="16" customHeight="1">
      <c r="B27" s="37" t="inlineStr">
        <is>
          <t>Obs: filen använder SUMMA.OMF (SUMIFS) och listrutor i stället för pivottabeller och utsnitt, så att den fungerar i Excel, LibreOffice och Google Sheets. I Excel kan du bygga samma vy med pivottabeller, utsnitt och rapportanslutningar som i steg 2, 5 och 6. Bladet är skyddat utan lösenord; bara listrutorna C3 och F3 är upplåsta.</t>
        </is>
      </c>
    </row>
    <row r="28" ht="16" customHeight="1"/>
    <row r="29">
      <c r="B29" s="13" t="inlineStr">
        <is>
          <t>Hypotetiskt exempel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6">
    <mergeCell ref="F3:G3"/>
    <mergeCell ref="N5:Q5"/>
    <mergeCell ref="J5:M5"/>
    <mergeCell ref="F7:I7"/>
    <mergeCell ref="B6:E6"/>
    <mergeCell ref="B27:Q28"/>
    <mergeCell ref="B7:E7"/>
    <mergeCell ref="J6:M6"/>
    <mergeCell ref="B5:E5"/>
    <mergeCell ref="N6:Q6"/>
    <mergeCell ref="F5:I5"/>
    <mergeCell ref="J7:M7"/>
    <mergeCell ref="C3:D3"/>
    <mergeCell ref="N7:Q7"/>
    <mergeCell ref="M1:Q1"/>
    <mergeCell ref="F6:I6"/>
  </mergeCells>
  <conditionalFormatting sqref="B7">
    <cfRule type="iconSet" priority="1">
      <iconSet iconSet="3Arrows">
        <cfvo type="num" val="0"/>
        <cfvo type="num" val="1"/>
        <cfvo type="num" val="1"/>
      </iconSet>
    </cfRule>
    <cfRule type="cellIs" priority="5" operator="greaterThanOrEqual" dxfId="0">
      <formula>1</formula>
    </cfRule>
    <cfRule type="cellIs" priority="6" operator="lessThan" dxfId="1">
      <formula>1</formula>
    </cfRule>
  </conditionalFormatting>
  <conditionalFormatting sqref="J6">
    <cfRule type="iconSet" priority="1">
      <iconSet iconSet="3Arrows">
        <cfvo type="num" val="0"/>
        <cfvo type="num" val="1"/>
        <cfvo type="num" val="1"/>
      </iconSet>
    </cfRule>
    <cfRule type="cellIs" priority="3" operator="greaterThanOrEqual" dxfId="2">
      <formula>1</formula>
    </cfRule>
    <cfRule type="cellIs" priority="4" operator="lessThan" dxfId="3">
      <formula>1</formula>
    </cfRule>
  </conditionalFormatting>
  <dataValidations count="2">
    <dataValidation sqref="C3" showDropDown="0" showInputMessage="0" showErrorMessage="1" allowBlank="0" errorTitle="Kategori" error="Välj ett värde i listan." type="list">
      <formula1>Beräkningar!$P$4:$P$7</formula1>
    </dataValidation>
    <dataValidation sqref="F3" showDropDown="0" showInputMessage="0" showErrorMessage="1" allowBlank="0" errorTitle="Månad" error="Välj ett värde i listan." type="list">
      <formula1>Beräkningar!$Q$4:$Q$10</formula1>
    </dataValidation>
  </dataValidations>
  <printOptions headings="0" gridLines="0"/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2026-10-24T14:01:12Z</dcterms:created>
  <dcterms:modified xmlns:dcterms="http://purl.org/dc/terms/" xmlns:xsi="http://www.w3.org/2001/XMLSchema-instance" xsi:type="dcterms:W3CDTF">2026-10-24T14:01:12Z</dcterms:modified>
</cp:coreProperties>
</file>