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říspěvky" sheetId="1" state="visible" r:id="rId3"/>
    <sheet name="Kanály" sheetId="2" state="visible" r:id="rId4"/>
    <sheet name="Pilíře" sheetId="3" state="visible" r:id="rId5"/>
    <sheet name="Obsahová matice" sheetId="4" state="visible" r:id="rId6"/>
    <sheet name="Kalendář" sheetId="5" state="visible" r:id="rId7"/>
    <sheet name="Souhrn" sheetId="6" state="visible" r:id="rId8"/>
  </sheets>
  <definedNames>
    <definedName function="false" hidden="false" localSheetId="4" name="_xlnm.Print_Area" vbProcedure="false">Kalendář!$A$1:$H$30</definedName>
    <definedName function="false" hidden="false" localSheetId="1" name="_xlnm.Print_Area" vbProcedure="false">Kanály!$A$1:$E$12</definedName>
    <definedName function="false" hidden="false" localSheetId="3" name="_xlnm.Print_Area" vbProcedure="false">'Obsahová matice'!$A$1:$F$14</definedName>
    <definedName function="false" hidden="false" localSheetId="2" name="_xlnm.Print_Area" vbProcedure="false">Pilíře!$A$1:$E$27</definedName>
    <definedName function="false" hidden="false" localSheetId="0" name="_xlnm.Print_Area" vbProcedure="false">Příspěvky!$A$1:$K$26</definedName>
    <definedName function="false" hidden="false" localSheetId="5" name="_xlnm.Print_Area" vbProcedure="false">Souhrn!$A$1:$F$28</definedName>
    <definedName function="false" hidden="false" name="Channels" vbProcedure="false">Kanály!$A$5:$A$10</definedName>
    <definedName function="false" hidden="false" name="Formats" vbProcedure="false">Pilíře!$B$19:$B$24</definedName>
    <definedName function="false" hidden="false" name="GridStart" vbProcedure="false">Pilíře!$C$8</definedName>
    <definedName function="false" hidden="false" name="MonthEnd" vbProcedure="false">Pilíře!$C$7</definedName>
    <definedName function="false" hidden="false" name="MonthStart" vbProcedure="false">Pilíře!$C$6</definedName>
    <definedName function="false" hidden="false" name="Pillars" vbProcedure="false">Pilíře!$B$11:$B$14</definedName>
    <definedName function="false" hidden="false" name="PillarTargets" vbProcedure="false">Pilíře!$C$11:$C$14</definedName>
    <definedName function="false" hidden="false" name="SelMonth" vbProcedure="false">Pilíře!$C$4</definedName>
    <definedName function="false" hidden="false" name="SelYear" vbProcedure="false">Pilíře!$C$5</definedName>
    <definedName function="false" hidden="false" name="Statuses" vbProcedure="false">Pilíře!$D$19:$D$22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<sst xmlns="http://schemas.openxmlformats.org/spreadsheetml/2006/main" count="361" uniqueCount="177">
  <si>
    <t xml:space="preserve">Příspěvky</t>
  </si>
  <si>
    <t xml:space="preserve">Jeden řádek = jeden příspěvek. Kanál, Pilíř, Formát a Stav mají rozbalovací seznam; Datum zadávejte jako D. M. RRRR, Čas jako HH:MM. Když začnete psát hned pod tabulkou, sama se rozšíří.</t>
  </si>
  <si>
    <t xml:space="preserve">Datum</t>
  </si>
  <si>
    <t xml:space="preserve">Čas</t>
  </si>
  <si>
    <t xml:space="preserve">Kanál</t>
  </si>
  <si>
    <t xml:space="preserve">Pilíř</t>
  </si>
  <si>
    <t xml:space="preserve">Formát</t>
  </si>
  <si>
    <t xml:space="preserve">Téma</t>
  </si>
  <si>
    <t xml:space="preserve">Text / popisek</t>
  </si>
  <si>
    <t xml:space="preserve">Vizuál</t>
  </si>
  <si>
    <t xml:space="preserve">Odkaz (UTM)</t>
  </si>
  <si>
    <t xml:space="preserve">Stav</t>
  </si>
  <si>
    <t xml:space="preserve">Odpovídá</t>
  </si>
  <si>
    <t xml:space="preserve">LinkedIn</t>
  </si>
  <si>
    <t xml:space="preserve">Vzdělávací obsah</t>
  </si>
  <si>
    <t xml:space="preserve">Dokument</t>
  </si>
  <si>
    <t xml:space="preserve">Jak vyřešit reklamaci</t>
  </si>
  <si>
    <t xml:space="preserve">5 kroků k vyřízení reklamace</t>
  </si>
  <si>
    <t xml:space="preserve">Karusel PDF</t>
  </si>
  <si>
    <t xml:space="preserve">ano</t>
  </si>
  <si>
    <t xml:space="preserve">Schváleno</t>
  </si>
  <si>
    <t xml:space="preserve">Jana</t>
  </si>
  <si>
    <t xml:space="preserve">Instagram</t>
  </si>
  <si>
    <t xml:space="preserve">Komunita a zákulisí</t>
  </si>
  <si>
    <t xml:space="preserve">Reels</t>
  </si>
  <si>
    <t xml:space="preserve">Den v kanceláři</t>
  </si>
  <si>
    <t xml:space="preserve">Krátký popisek s otázkou</t>
  </si>
  <si>
    <t xml:space="preserve">Video 9:16</t>
  </si>
  <si>
    <t xml:space="preserve">ne</t>
  </si>
  <si>
    <t xml:space="preserve">Naplánováno</t>
  </si>
  <si>
    <t xml:space="preserve">Petr</t>
  </si>
  <si>
    <t xml:space="preserve">Facebook Page</t>
  </si>
  <si>
    <t xml:space="preserve">Přímý prodej</t>
  </si>
  <si>
    <t xml:space="preserve">Obrázek</t>
  </si>
  <si>
    <t xml:space="preserve">Nová služba</t>
  </si>
  <si>
    <t xml:space="preserve">Představení služby a odkaz</t>
  </si>
  <si>
    <t xml:space="preserve">Grafika 1:1</t>
  </si>
  <si>
    <t xml:space="preserve">Rozpracováno</t>
  </si>
  <si>
    <t xml:space="preserve">TikTok</t>
  </si>
  <si>
    <t xml:space="preserve">Krátké video</t>
  </si>
  <si>
    <t xml:space="preserve">Reklamace za 45 sekund</t>
  </si>
  <si>
    <t xml:space="preserve">Nejčastější chyba při reklamaci</t>
  </si>
  <si>
    <t xml:space="preserve">Video 9:16 s titulky</t>
  </si>
  <si>
    <t xml:space="preserve">Případové studie</t>
  </si>
  <si>
    <t xml:space="preserve">Co změnil e-shop s obuví v procesu reklamací</t>
  </si>
  <si>
    <t xml:space="preserve">Případová studie krok za krokem</t>
  </si>
  <si>
    <t xml:space="preserve">Karusel</t>
  </si>
  <si>
    <t xml:space="preserve">6 tipů na odpověď nespokojenému zákazníkovi</t>
  </si>
  <si>
    <t xml:space="preserve">Uložte si na později</t>
  </si>
  <si>
    <t xml:space="preserve">Karusel 4:5</t>
  </si>
  <si>
    <t xml:space="preserve">Threads</t>
  </si>
  <si>
    <t xml:space="preserve">Text</t>
  </si>
  <si>
    <t xml:space="preserve">Jaká reklamace vás nejvíc překvapila?</t>
  </si>
  <si>
    <t xml:space="preserve">Otázka do diskuse</t>
  </si>
  <si>
    <t xml:space="preserve">Bez média</t>
  </si>
  <si>
    <t xml:space="preserve">Lhůty pro vyřízení reklamace</t>
  </si>
  <si>
    <t xml:space="preserve">Přehled lhůt v jednom obrázku</t>
  </si>
  <si>
    <t xml:space="preserve">YouTube Shorts</t>
  </si>
  <si>
    <t xml:space="preserve">Klient vypráví: první měsíc s novým postupem</t>
  </si>
  <si>
    <t xml:space="preserve">Krátký příběh klienta</t>
  </si>
  <si>
    <t xml:space="preserve">Šablona odpovědi na reklamaci</t>
  </si>
  <si>
    <t xml:space="preserve">Delší text s odrážkami</t>
  </si>
  <si>
    <t xml:space="preserve">Před a po: e-mail zákazníkovi</t>
  </si>
  <si>
    <t xml:space="preserve">Porovnání dvou verzí odpovědi</t>
  </si>
  <si>
    <t xml:space="preserve">Konzultace zdarma: audit reklamačního procesu</t>
  </si>
  <si>
    <t xml:space="preserve">Odkaz na rezervaci termínu</t>
  </si>
  <si>
    <t xml:space="preserve">Nápad</t>
  </si>
  <si>
    <t xml:space="preserve">3 věty, které zákazníka uklidní</t>
  </si>
  <si>
    <t xml:space="preserve">Pointa hned na začátku</t>
  </si>
  <si>
    <t xml:space="preserve">Případová studie: servis elektroniky</t>
  </si>
  <si>
    <t xml:space="preserve">Od stížnosti k doporučení</t>
  </si>
  <si>
    <t xml:space="preserve">Představujeme tým: kdo vám odpovídá</t>
  </si>
  <si>
    <t xml:space="preserve">Fotka týmu s popiskem</t>
  </si>
  <si>
    <t xml:space="preserve">Fotka 4:5</t>
  </si>
  <si>
    <t xml:space="preserve">Reklamace, nebo vrácení zboží?</t>
  </si>
  <si>
    <t xml:space="preserve">Krátké shrnutí s otázkou do diskuse</t>
  </si>
  <si>
    <t xml:space="preserve">Karusel 1:1</t>
  </si>
  <si>
    <t xml:space="preserve">Tip týdne: potvrzení přijetí reklamace</t>
  </si>
  <si>
    <t xml:space="preserve">Krátký tip</t>
  </si>
  <si>
    <t xml:space="preserve">Klientka z e-shopu s kosmetikou: co jí pomohlo</t>
  </si>
  <si>
    <t xml:space="preserve">Krátký příběh klientky</t>
  </si>
  <si>
    <t xml:space="preserve">Workshop pro týmy zákaznické podpory</t>
  </si>
  <si>
    <t xml:space="preserve">Pozvánka s odkazem na registraci</t>
  </si>
  <si>
    <t xml:space="preserve">Kontrolní seznam: reklamace bez stresu</t>
  </si>
  <si>
    <t xml:space="preserve">Hypotetický příklad — orova.vn</t>
  </si>
  <si>
    <t xml:space="preserve">Seznam kanálů</t>
  </si>
  <si>
    <t xml:space="preserve">Profil, správce a stav připojení; tokeny ověřujte jednou měsíčně (Krok 7). Sloupec Kanál plní seznam na listu Příspěvky.</t>
  </si>
  <si>
    <t xml:space="preserve">Název profilu</t>
  </si>
  <si>
    <t xml:space="preserve">Správce</t>
  </si>
  <si>
    <t xml:space="preserve">Stav připojení</t>
  </si>
  <si>
    <t xml:space="preserve">Na co si dát pozor</t>
  </si>
  <si>
    <t xml:space="preserve">Firemní stránka</t>
  </si>
  <si>
    <t xml:space="preserve">Připojeno</t>
  </si>
  <si>
    <t xml:space="preserve">Před naplánováním zkontrolujte náhled odkazu</t>
  </si>
  <si>
    <t xml:space="preserve">@vasefirma</t>
  </si>
  <si>
    <t xml:space="preserve">Odkazy v popisku nejsou klikatelné</t>
  </si>
  <si>
    <t xml:space="preserve">Stránka společnosti</t>
  </si>
  <si>
    <t xml:space="preserve">Klíčovou myšlenku dejte do prvních řádků</t>
  </si>
  <si>
    <t xml:space="preserve">Ověřit token</t>
  </si>
  <si>
    <t xml:space="preserve">Pointa musí zaznít hned na začátku</t>
  </si>
  <si>
    <t xml:space="preserve">Kanál YouTube</t>
  </si>
  <si>
    <t xml:space="preserve">Titulky držte mimo ovládací prvky</t>
  </si>
  <si>
    <t xml:space="preserve">Nepřipojeno</t>
  </si>
  <si>
    <t xml:space="preserve">Počítejte s odpověďmi v komentářích</t>
  </si>
  <si>
    <t xml:space="preserve">Pilíře</t>
  </si>
  <si>
    <t xml:space="preserve">Zde vyberte měsíc a rok: listy Kalendář a Souhrn se přepočítají samy. Žluté buňky můžete upravit.</t>
  </si>
  <si>
    <t xml:space="preserve">Měsíc</t>
  </si>
  <si>
    <t xml:space="preserve">Rok</t>
  </si>
  <si>
    <t xml:space="preserve">První den měsíce</t>
  </si>
  <si>
    <t xml:space="preserve">Poslední den měsíce</t>
  </si>
  <si>
    <t xml:space="preserve">Kalendář začíná (pondělí)</t>
  </si>
  <si>
    <t xml:space="preserve">Podíl</t>
  </si>
  <si>
    <t xml:space="preserve">Barva</t>
  </si>
  <si>
    <t xml:space="preserve">Příklad tématu</t>
  </si>
  <si>
    <t xml:space="preserve">Modrá</t>
  </si>
  <si>
    <t xml:space="preserve">Zelená</t>
  </si>
  <si>
    <t xml:space="preserve">Oranžová</t>
  </si>
  <si>
    <t xml:space="preserve">Fialová</t>
  </si>
  <si>
    <t xml:space="preserve">Celkem</t>
  </si>
  <si>
    <t xml:space="preserve">Poměr 40 / 30 / 20 / 10 % je hypotetický příklad. Vlastní poměr nastavte podle výsledků auditu (součet má být 100 %).</t>
  </si>
  <si>
    <t xml:space="preserve">Seznamy plní rozbalovací nabídky na listu Příspěvky. Kanály upravujte na listu Kanály — sem se načítají vzorcem.</t>
  </si>
  <si>
    <t xml:space="preserve">Obsahová matice</t>
  </si>
  <si>
    <t xml:space="preserve">Jedna myšlenka — čtyři formáty (Krok 2). Řádky 1–3 jsou hypotetický příklad, žluté řádky vyplňte vlastními tématy.</t>
  </si>
  <si>
    <t xml:space="preserve">Hlavní téma</t>
  </si>
  <si>
    <t xml:space="preserve">Úhel pohledu</t>
  </si>
  <si>
    <t xml:space="preserve">Formát pro LinkedIn</t>
  </si>
  <si>
    <t xml:space="preserve">Formát pro Instagram</t>
  </si>
  <si>
    <t xml:space="preserve">Formát pro Facebook</t>
  </si>
  <si>
    <t xml:space="preserve">Formát pro TikTok</t>
  </si>
  <si>
    <t xml:space="preserve">Jak vyřešit častou reklamaci</t>
  </si>
  <si>
    <t xml:space="preserve">Postup krok za krokem</t>
  </si>
  <si>
    <t xml:space="preserve">Karusel o šesti snímcích</t>
  </si>
  <si>
    <t xml:space="preserve">45sekundové mluvené video s titulky</t>
  </si>
  <si>
    <t xml:space="preserve">Příběh zákazníka</t>
  </si>
  <si>
    <t xml:space="preserve">Případová studie jako dokument PDF</t>
  </si>
  <si>
    <t xml:space="preserve">Reels: před a po</t>
  </si>
  <si>
    <t xml:space="preserve">Obrázek s citací klienta</t>
  </si>
  <si>
    <t xml:space="preserve">Klient vypráví v krátkém videu</t>
  </si>
  <si>
    <t xml:space="preserve">Zákulisí</t>
  </si>
  <si>
    <t xml:space="preserve">Text o tom, jak tým pracuje</t>
  </si>
  <si>
    <t xml:space="preserve">Reels z běžného dne</t>
  </si>
  <si>
    <t xml:space="preserve">Krátké video z kanceláře</t>
  </si>
  <si>
    <t xml:space="preserve">Plní se automaticky z listu Příspěvky (první příspěvek dne; (+1) — ten den je ještě další). Měsíc a rok měňte na listu Pilíře.</t>
  </si>
  <si>
    <t xml:space="preserve">Pilíře:</t>
  </si>
  <si>
    <t xml:space="preserve">Týden</t>
  </si>
  <si>
    <t xml:space="preserve">Pondělí</t>
  </si>
  <si>
    <t xml:space="preserve">Úterý</t>
  </si>
  <si>
    <t xml:space="preserve">Středa</t>
  </si>
  <si>
    <t xml:space="preserve">Čtvrtek</t>
  </si>
  <si>
    <t xml:space="preserve">Pátek</t>
  </si>
  <si>
    <t xml:space="preserve">Sobota</t>
  </si>
  <si>
    <t xml:space="preserve">Neděle</t>
  </si>
  <si>
    <t xml:space="preserve">Formát · kanál</t>
  </si>
  <si>
    <t xml:space="preserve">Pilíře (příspěvky vybraného měsíce)</t>
  </si>
  <si>
    <t xml:space="preserve">Cílový podíl</t>
  </si>
  <si>
    <t xml:space="preserve">Příspěvků</t>
  </si>
  <si>
    <t xml:space="preserve">Skutečný podíl</t>
  </si>
  <si>
    <t xml:space="preserve">Odchylka (p. b.)</t>
  </si>
  <si>
    <t xml:space="preserve">Podle kanálů</t>
  </si>
  <si>
    <t xml:space="preserve">Podle stavu</t>
  </si>
  <si>
    <t xml:space="preserve">Měření výsledků plánování</t>
  </si>
  <si>
    <t xml:space="preserve">Co měřit</t>
  </si>
  <si>
    <t xml:space="preserve">Co vám to řekne</t>
  </si>
  <si>
    <t xml:space="preserve">Kde to najdete</t>
  </si>
  <si>
    <t xml:space="preserve">Míra zapojení vůči zobrazením</t>
  </si>
  <si>
    <t xml:space="preserve">Která témata a formáty publikum skutečně oslovují</t>
  </si>
  <si>
    <t xml:space="preserve">Statistiky Meta Business Suite, LinkedIn Analytika, TikTok Analytika</t>
  </si>
  <si>
    <t xml:space="preserve">Uložení a sdílení</t>
  </si>
  <si>
    <t xml:space="preserve">Zda má obsah hodnotu, ke které se lidé vracejí</t>
  </si>
  <si>
    <t xml:space="preserve">Detail příspěvku v nativních statistikách</t>
  </si>
  <si>
    <t xml:space="preserve">Prokliky na web (CTR)</t>
  </si>
  <si>
    <t xml:space="preserve">Zda příspěvky přivádějí návštěvníky na web</t>
  </si>
  <si>
    <t xml:space="preserve">Statistiky sítě a webová analytika podle UTM parametrů</t>
  </si>
  <si>
    <t xml:space="preserve">Dodržení plánu</t>
  </si>
  <si>
    <t xml:space="preserve">Kolik naplánovaných příspěvků skutečně vyšlo včas</t>
  </si>
  <si>
    <t xml:space="preserve">Váš obsahový kalendář (sloupec Stav)</t>
  </si>
  <si>
    <t xml:space="preserve">Frekvenci a poměr pilířů upravte po měsíci podle dat, ne podle pocitu.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</si>
</sst>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405]d&quot;. &quot;m&quot;. &quot;yyyy"/>
    <numFmt numFmtId="166" formatCode="hh:mm"/>
    <numFmt numFmtId="167" formatCode="0\ %"/>
    <numFmt numFmtId="168" formatCode="d"/>
    <numFmt numFmtId="169" formatCode="[$-405]\+0.0;\-0.0;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9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2"/>
      <name val="Calibri"/>
      <family val="0"/>
      <charset val="1"/>
    </font>
    <font>
      <sz val="10"/>
      <name val="Calibri"/>
      <family val="0"/>
      <charset val="1"/>
    </font>
    <font>
      <b val="true"/>
      <sz val="9"/>
      <color rgb="FF404040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7F7F7"/>
      </patternFill>
    </fill>
    <fill>
      <patternFill patternType="solid">
        <fgColor rgb="FFFFF8DC"/>
        <bgColor rgb="FFFFF2CC"/>
      </patternFill>
    </fill>
    <fill>
      <patternFill patternType="solid">
        <fgColor rgb="FFDCE6F1"/>
        <bgColor rgb="FFDDEBF7"/>
      </patternFill>
    </fill>
    <fill>
      <patternFill patternType="solid">
        <fgColor rgb="FFE2EFDA"/>
        <bgColor rgb="FFE7E6E6"/>
      </patternFill>
    </fill>
    <fill>
      <patternFill patternType="solid">
        <fgColor rgb="FFFCE4D6"/>
        <bgColor rgb="FFFFF2CC"/>
      </patternFill>
    </fill>
    <fill>
      <patternFill patternType="solid">
        <fgColor rgb="FFE4DFEC"/>
        <bgColor rgb="FFE3E3E3"/>
      </patternFill>
    </fill>
    <fill>
      <patternFill patternType="solid">
        <fgColor rgb="FFE7E6E6"/>
        <bgColor rgb="FFE3E3E3"/>
      </patternFill>
    </fill>
    <fill>
      <patternFill patternType="solid">
        <fgColor rgb="FFF7F7F7"/>
        <bgColor rgb="FFF2F2F2"/>
      </patternFill>
    </fill>
    <fill>
      <patternFill patternType="solid">
        <fgColor rgb="FFFFF2CC"/>
        <bgColor rgb="FFFFF8DC"/>
      </patternFill>
    </fill>
    <fill>
      <patternFill patternType="solid">
        <fgColor rgb="FFDDEBF7"/>
        <bgColor rgb="FFDCE6F1"/>
      </patternFill>
    </fill>
    <fill>
      <patternFill patternType="solid">
        <fgColor rgb="FFC6EFCE"/>
        <bgColor rgb="FFE2EFDA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/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6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9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9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9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7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1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7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4DFEC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DDEBF7"/>
        </patternFill>
      </fill>
    </dxf>
    <dxf>
      <font>
        <name val="Calibri"/>
        <charset val="1"/>
        <family val="0"/>
        <b val="1"/>
        <color rgb="FF006100"/>
        <sz val="11"/>
      </font>
      <fill>
        <patternFill>
          <bgColor rgb="FFC6EFCE"/>
        </patternFill>
      </fill>
    </dxf>
    <dxf>
      <fill>
        <patternFill>
          <bgColor rgb="FFE3E3E3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20" type="wholeTable"/>
      <tableStyleElement dxfId="21" type="firstColumnStripe"/>
      <tableStyleElement dxfId="22" type="firstRowStripe"/>
      <tableStyleElement dxfId="23" type="lastColumn"/>
      <tableStyleElement dxfId="24" type="firstColumn"/>
      <tableStyleElement dxfId="25" type="headerRow"/>
      <tableStyleElement dxfId="26" type="totalRow"/>
    </tableStyle>
  </tableStyles>
  <colors>
    <indexedColors>
      <rgbColor rgb="FF000000"/>
      <rgbColor rgb="FFF7F7F7"/>
      <rgbColor rgb="FFFF0000"/>
      <rgbColor rgb="FF00FF00"/>
      <rgbColor rgb="FF0000FF"/>
      <rgbColor rgb="FFF2F2F2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DC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DCE6F1"/>
      <rgbColor rgb="FFE7E6E6"/>
      <rgbColor rgb="FFE3E3E3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osts" displayName="tblPosts" ref="A4:K24" headerRowCount="1" totalsRowCount="0" totalsRowShown="0">
  <autoFilter ref="A4:K24"/>
  <tableColumns count="11">
    <tableColumn id="1" name="Datum"/>
    <tableColumn id="2" name="Čas"/>
    <tableColumn id="3" name="Kanál"/>
    <tableColumn id="4" name="Pilíř"/>
    <tableColumn id="5" name="Formát"/>
    <tableColumn id="6" name="Téma"/>
    <tableColumn id="7" name="Text / popisek"/>
    <tableColumn id="8" name="Vizuál"/>
    <tableColumn id="9" name="Odkaz (UTM)"/>
    <tableColumn id="10" name="Stav"/>
    <tableColumn id="11" name="Odpovídá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15"/>
    <col collapsed="false" customWidth="true" hidden="false" outlineLevel="0" max="4" min="4" style="0" width="19"/>
    <col collapsed="false" customWidth="true" hidden="false" outlineLevel="0" max="5" min="5" style="0" width="13"/>
    <col collapsed="false" customWidth="true" hidden="false" outlineLevel="0" max="7" min="6" style="0" width="34"/>
    <col collapsed="false" customWidth="true" hidden="false" outlineLevel="0" max="8" min="8" style="0" width="18"/>
    <col collapsed="false" customWidth="true" hidden="false" outlineLevel="0" max="9" min="9" style="0" width="12"/>
    <col collapsed="false" customWidth="true" hidden="false" outlineLevel="0" max="10" min="10" style="0" width="14"/>
    <col collapsed="false" customWidth="true" hidden="false" outlineLevel="0" max="11" min="11" style="0" width="11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Format="false" ht="30" hidden="false" customHeight="true" outlineLevel="0" collapsed="false">
      <c r="A5" s="4" t="n">
        <v>46510</v>
      </c>
      <c r="B5" s="5" t="n">
        <v>0.375</v>
      </c>
      <c r="C5" s="6" t="s">
        <v>13</v>
      </c>
      <c r="D5" s="6" t="s">
        <v>14</v>
      </c>
      <c r="E5" s="6" t="s">
        <v>15</v>
      </c>
      <c r="F5" s="7" t="s">
        <v>16</v>
      </c>
      <c r="G5" s="7" t="s">
        <v>17</v>
      </c>
      <c r="H5" s="7" t="s">
        <v>18</v>
      </c>
      <c r="I5" s="6" t="s">
        <v>19</v>
      </c>
      <c r="J5" s="6" t="s">
        <v>20</v>
      </c>
      <c r="K5" s="6" t="s">
        <v>21</v>
      </c>
    </row>
    <row r="6" customFormat="false" ht="30" hidden="false" customHeight="true" outlineLevel="0" collapsed="false">
      <c r="A6" s="4" t="n">
        <v>46511</v>
      </c>
      <c r="B6" s="5" t="n">
        <v>0.708333333333333</v>
      </c>
      <c r="C6" s="6" t="s">
        <v>22</v>
      </c>
      <c r="D6" s="6" t="s">
        <v>23</v>
      </c>
      <c r="E6" s="6" t="s">
        <v>24</v>
      </c>
      <c r="F6" s="7" t="s">
        <v>25</v>
      </c>
      <c r="G6" s="7" t="s">
        <v>26</v>
      </c>
      <c r="H6" s="7" t="s">
        <v>27</v>
      </c>
      <c r="I6" s="6" t="s">
        <v>28</v>
      </c>
      <c r="J6" s="6" t="s">
        <v>29</v>
      </c>
      <c r="K6" s="6" t="s">
        <v>30</v>
      </c>
    </row>
    <row r="7" customFormat="false" ht="30" hidden="false" customHeight="true" outlineLevel="0" collapsed="false">
      <c r="A7" s="4" t="n">
        <v>46513</v>
      </c>
      <c r="B7" s="5" t="n">
        <v>0.5</v>
      </c>
      <c r="C7" s="6" t="s">
        <v>31</v>
      </c>
      <c r="D7" s="6" t="s">
        <v>32</v>
      </c>
      <c r="E7" s="6" t="s">
        <v>33</v>
      </c>
      <c r="F7" s="7" t="s">
        <v>34</v>
      </c>
      <c r="G7" s="7" t="s">
        <v>35</v>
      </c>
      <c r="H7" s="7" t="s">
        <v>36</v>
      </c>
      <c r="I7" s="6" t="s">
        <v>19</v>
      </c>
      <c r="J7" s="6" t="s">
        <v>37</v>
      </c>
      <c r="K7" s="6" t="s">
        <v>21</v>
      </c>
    </row>
    <row r="8" customFormat="false" ht="30" hidden="false" customHeight="true" outlineLevel="0" collapsed="false">
      <c r="A8" s="4" t="n">
        <v>46514</v>
      </c>
      <c r="B8" s="5" t="n">
        <v>0.75</v>
      </c>
      <c r="C8" s="6" t="s">
        <v>38</v>
      </c>
      <c r="D8" s="6" t="s">
        <v>14</v>
      </c>
      <c r="E8" s="6" t="s">
        <v>39</v>
      </c>
      <c r="F8" s="7" t="s">
        <v>40</v>
      </c>
      <c r="G8" s="7" t="s">
        <v>41</v>
      </c>
      <c r="H8" s="7" t="s">
        <v>42</v>
      </c>
      <c r="I8" s="6" t="s">
        <v>28</v>
      </c>
      <c r="J8" s="6" t="s">
        <v>20</v>
      </c>
      <c r="K8" s="6" t="s">
        <v>30</v>
      </c>
    </row>
    <row r="9" customFormat="false" ht="30" hidden="false" customHeight="true" outlineLevel="0" collapsed="false">
      <c r="A9" s="4" t="n">
        <v>46517</v>
      </c>
      <c r="B9" s="5" t="n">
        <v>0.375</v>
      </c>
      <c r="C9" s="6" t="s">
        <v>13</v>
      </c>
      <c r="D9" s="6" t="s">
        <v>43</v>
      </c>
      <c r="E9" s="6" t="s">
        <v>15</v>
      </c>
      <c r="F9" s="7" t="s">
        <v>44</v>
      </c>
      <c r="G9" s="7" t="s">
        <v>45</v>
      </c>
      <c r="H9" s="7" t="s">
        <v>18</v>
      </c>
      <c r="I9" s="6" t="s">
        <v>19</v>
      </c>
      <c r="J9" s="6" t="s">
        <v>20</v>
      </c>
      <c r="K9" s="6" t="s">
        <v>21</v>
      </c>
    </row>
    <row r="10" customFormat="false" ht="30" hidden="false" customHeight="true" outlineLevel="0" collapsed="false">
      <c r="A10" s="4" t="n">
        <v>46518</v>
      </c>
      <c r="B10" s="5" t="n">
        <v>0.5</v>
      </c>
      <c r="C10" s="6" t="s">
        <v>22</v>
      </c>
      <c r="D10" s="6" t="s">
        <v>14</v>
      </c>
      <c r="E10" s="6" t="s">
        <v>46</v>
      </c>
      <c r="F10" s="7" t="s">
        <v>47</v>
      </c>
      <c r="G10" s="7" t="s">
        <v>48</v>
      </c>
      <c r="H10" s="7" t="s">
        <v>49</v>
      </c>
      <c r="I10" s="6" t="s">
        <v>28</v>
      </c>
      <c r="J10" s="6" t="s">
        <v>20</v>
      </c>
      <c r="K10" s="6" t="s">
        <v>30</v>
      </c>
    </row>
    <row r="11" customFormat="false" ht="30" hidden="false" customHeight="true" outlineLevel="0" collapsed="false">
      <c r="A11" s="4" t="n">
        <v>46519</v>
      </c>
      <c r="B11" s="5" t="n">
        <v>0.708333333333333</v>
      </c>
      <c r="C11" s="6" t="s">
        <v>50</v>
      </c>
      <c r="D11" s="6" t="s">
        <v>23</v>
      </c>
      <c r="E11" s="6" t="s">
        <v>51</v>
      </c>
      <c r="F11" s="7" t="s">
        <v>52</v>
      </c>
      <c r="G11" s="7" t="s">
        <v>53</v>
      </c>
      <c r="H11" s="7" t="s">
        <v>54</v>
      </c>
      <c r="I11" s="6" t="s">
        <v>28</v>
      </c>
      <c r="J11" s="6" t="s">
        <v>37</v>
      </c>
      <c r="K11" s="6" t="s">
        <v>21</v>
      </c>
    </row>
    <row r="12" customFormat="false" ht="30" hidden="false" customHeight="true" outlineLevel="0" collapsed="false">
      <c r="A12" s="4" t="n">
        <v>46520</v>
      </c>
      <c r="B12" s="5" t="n">
        <v>0.375</v>
      </c>
      <c r="C12" s="6" t="s">
        <v>31</v>
      </c>
      <c r="D12" s="6" t="s">
        <v>14</v>
      </c>
      <c r="E12" s="6" t="s">
        <v>33</v>
      </c>
      <c r="F12" s="7" t="s">
        <v>55</v>
      </c>
      <c r="G12" s="7" t="s">
        <v>56</v>
      </c>
      <c r="H12" s="7" t="s">
        <v>36</v>
      </c>
      <c r="I12" s="6" t="s">
        <v>19</v>
      </c>
      <c r="J12" s="6" t="s">
        <v>37</v>
      </c>
      <c r="K12" s="6" t="s">
        <v>21</v>
      </c>
    </row>
    <row r="13" customFormat="false" ht="30" hidden="false" customHeight="true" outlineLevel="0" collapsed="false">
      <c r="A13" s="4" t="n">
        <v>46521</v>
      </c>
      <c r="B13" s="5" t="n">
        <v>0.75</v>
      </c>
      <c r="C13" s="6" t="s">
        <v>57</v>
      </c>
      <c r="D13" s="6" t="s">
        <v>43</v>
      </c>
      <c r="E13" s="6" t="s">
        <v>39</v>
      </c>
      <c r="F13" s="7" t="s">
        <v>58</v>
      </c>
      <c r="G13" s="7" t="s">
        <v>59</v>
      </c>
      <c r="H13" s="7" t="s">
        <v>42</v>
      </c>
      <c r="I13" s="6" t="s">
        <v>28</v>
      </c>
      <c r="J13" s="6" t="s">
        <v>37</v>
      </c>
      <c r="K13" s="6" t="s">
        <v>30</v>
      </c>
    </row>
    <row r="14" customFormat="false" ht="30" hidden="false" customHeight="true" outlineLevel="0" collapsed="false">
      <c r="A14" s="4" t="n">
        <v>46524</v>
      </c>
      <c r="B14" s="5" t="n">
        <v>0.375</v>
      </c>
      <c r="C14" s="6" t="s">
        <v>13</v>
      </c>
      <c r="D14" s="6" t="s">
        <v>14</v>
      </c>
      <c r="E14" s="6" t="s">
        <v>51</v>
      </c>
      <c r="F14" s="7" t="s">
        <v>60</v>
      </c>
      <c r="G14" s="7" t="s">
        <v>61</v>
      </c>
      <c r="H14" s="7" t="s">
        <v>54</v>
      </c>
      <c r="I14" s="6" t="s">
        <v>19</v>
      </c>
      <c r="J14" s="6" t="s">
        <v>37</v>
      </c>
      <c r="K14" s="6" t="s">
        <v>21</v>
      </c>
    </row>
    <row r="15" customFormat="false" ht="30" hidden="false" customHeight="true" outlineLevel="0" collapsed="false">
      <c r="A15" s="4" t="n">
        <v>46525</v>
      </c>
      <c r="B15" s="5" t="n">
        <v>0.708333333333333</v>
      </c>
      <c r="C15" s="6" t="s">
        <v>22</v>
      </c>
      <c r="D15" s="6" t="s">
        <v>43</v>
      </c>
      <c r="E15" s="6" t="s">
        <v>24</v>
      </c>
      <c r="F15" s="7" t="s">
        <v>62</v>
      </c>
      <c r="G15" s="7" t="s">
        <v>63</v>
      </c>
      <c r="H15" s="7" t="s">
        <v>27</v>
      </c>
      <c r="I15" s="6" t="s">
        <v>28</v>
      </c>
      <c r="J15" s="6" t="s">
        <v>37</v>
      </c>
      <c r="K15" s="6" t="s">
        <v>30</v>
      </c>
    </row>
    <row r="16" customFormat="false" ht="30" hidden="false" customHeight="true" outlineLevel="0" collapsed="false">
      <c r="A16" s="4" t="n">
        <v>46526</v>
      </c>
      <c r="B16" s="5" t="n">
        <v>0.5</v>
      </c>
      <c r="C16" s="6" t="s">
        <v>31</v>
      </c>
      <c r="D16" s="6" t="s">
        <v>32</v>
      </c>
      <c r="E16" s="6" t="s">
        <v>33</v>
      </c>
      <c r="F16" s="7" t="s">
        <v>64</v>
      </c>
      <c r="G16" s="7" t="s">
        <v>65</v>
      </c>
      <c r="H16" s="7" t="s">
        <v>36</v>
      </c>
      <c r="I16" s="6" t="s">
        <v>19</v>
      </c>
      <c r="J16" s="6" t="s">
        <v>66</v>
      </c>
      <c r="K16" s="6" t="s">
        <v>21</v>
      </c>
    </row>
    <row r="17" customFormat="false" ht="30" hidden="false" customHeight="true" outlineLevel="0" collapsed="false">
      <c r="A17" s="4" t="n">
        <v>46527</v>
      </c>
      <c r="B17" s="5" t="n">
        <v>0.75</v>
      </c>
      <c r="C17" s="6" t="s">
        <v>38</v>
      </c>
      <c r="D17" s="6" t="s">
        <v>14</v>
      </c>
      <c r="E17" s="6" t="s">
        <v>39</v>
      </c>
      <c r="F17" s="7" t="s">
        <v>67</v>
      </c>
      <c r="G17" s="7" t="s">
        <v>68</v>
      </c>
      <c r="H17" s="7" t="s">
        <v>42</v>
      </c>
      <c r="I17" s="6" t="s">
        <v>28</v>
      </c>
      <c r="J17" s="6" t="s">
        <v>66</v>
      </c>
      <c r="K17" s="6" t="s">
        <v>30</v>
      </c>
    </row>
    <row r="18" customFormat="false" ht="30" hidden="false" customHeight="true" outlineLevel="0" collapsed="false">
      <c r="A18" s="4" t="n">
        <v>46528</v>
      </c>
      <c r="B18" s="5" t="n">
        <v>0.375</v>
      </c>
      <c r="C18" s="6" t="s">
        <v>13</v>
      </c>
      <c r="D18" s="6" t="s">
        <v>43</v>
      </c>
      <c r="E18" s="6" t="s">
        <v>15</v>
      </c>
      <c r="F18" s="7" t="s">
        <v>69</v>
      </c>
      <c r="G18" s="7" t="s">
        <v>70</v>
      </c>
      <c r="H18" s="7" t="s">
        <v>18</v>
      </c>
      <c r="I18" s="6" t="s">
        <v>19</v>
      </c>
      <c r="J18" s="6" t="s">
        <v>66</v>
      </c>
      <c r="K18" s="6" t="s">
        <v>21</v>
      </c>
    </row>
    <row r="19" customFormat="false" ht="30" hidden="false" customHeight="true" outlineLevel="0" collapsed="false">
      <c r="A19" s="4" t="n">
        <v>46531</v>
      </c>
      <c r="B19" s="5" t="n">
        <v>0.5</v>
      </c>
      <c r="C19" s="6" t="s">
        <v>22</v>
      </c>
      <c r="D19" s="6" t="s">
        <v>23</v>
      </c>
      <c r="E19" s="6" t="s">
        <v>33</v>
      </c>
      <c r="F19" s="7" t="s">
        <v>71</v>
      </c>
      <c r="G19" s="7" t="s">
        <v>72</v>
      </c>
      <c r="H19" s="7" t="s">
        <v>73</v>
      </c>
      <c r="I19" s="6" t="s">
        <v>28</v>
      </c>
      <c r="J19" s="6" t="s">
        <v>66</v>
      </c>
      <c r="K19" s="6" t="s">
        <v>30</v>
      </c>
    </row>
    <row r="20" customFormat="false" ht="30" hidden="false" customHeight="true" outlineLevel="0" collapsed="false">
      <c r="A20" s="4" t="n">
        <v>46532</v>
      </c>
      <c r="B20" s="5" t="n">
        <v>0.708333333333333</v>
      </c>
      <c r="C20" s="6" t="s">
        <v>31</v>
      </c>
      <c r="D20" s="6" t="s">
        <v>14</v>
      </c>
      <c r="E20" s="6" t="s">
        <v>46</v>
      </c>
      <c r="F20" s="7" t="s">
        <v>74</v>
      </c>
      <c r="G20" s="7" t="s">
        <v>75</v>
      </c>
      <c r="H20" s="7" t="s">
        <v>76</v>
      </c>
      <c r="I20" s="6" t="s">
        <v>19</v>
      </c>
      <c r="J20" s="6" t="s">
        <v>66</v>
      </c>
      <c r="K20" s="6" t="s">
        <v>21</v>
      </c>
    </row>
    <row r="21" customFormat="false" ht="30" hidden="false" customHeight="true" outlineLevel="0" collapsed="false">
      <c r="A21" s="4" t="n">
        <v>46533</v>
      </c>
      <c r="B21" s="5" t="n">
        <v>0.375</v>
      </c>
      <c r="C21" s="6" t="s">
        <v>50</v>
      </c>
      <c r="D21" s="6" t="s">
        <v>14</v>
      </c>
      <c r="E21" s="6" t="s">
        <v>51</v>
      </c>
      <c r="F21" s="7" t="s">
        <v>77</v>
      </c>
      <c r="G21" s="7" t="s">
        <v>78</v>
      </c>
      <c r="H21" s="7" t="s">
        <v>54</v>
      </c>
      <c r="I21" s="6" t="s">
        <v>28</v>
      </c>
      <c r="J21" s="6" t="s">
        <v>66</v>
      </c>
      <c r="K21" s="6" t="s">
        <v>21</v>
      </c>
    </row>
    <row r="22" customFormat="false" ht="30" hidden="false" customHeight="true" outlineLevel="0" collapsed="false">
      <c r="A22" s="4" t="n">
        <v>46534</v>
      </c>
      <c r="B22" s="5" t="n">
        <v>0.75</v>
      </c>
      <c r="C22" s="6" t="s">
        <v>57</v>
      </c>
      <c r="D22" s="6" t="s">
        <v>43</v>
      </c>
      <c r="E22" s="6" t="s">
        <v>39</v>
      </c>
      <c r="F22" s="7" t="s">
        <v>79</v>
      </c>
      <c r="G22" s="7" t="s">
        <v>80</v>
      </c>
      <c r="H22" s="7" t="s">
        <v>42</v>
      </c>
      <c r="I22" s="6" t="s">
        <v>28</v>
      </c>
      <c r="J22" s="6" t="s">
        <v>66</v>
      </c>
      <c r="K22" s="6" t="s">
        <v>30</v>
      </c>
    </row>
    <row r="23" customFormat="false" ht="30" hidden="false" customHeight="true" outlineLevel="0" collapsed="false">
      <c r="A23" s="4" t="n">
        <v>46535</v>
      </c>
      <c r="B23" s="5" t="n">
        <v>0.5</v>
      </c>
      <c r="C23" s="6" t="s">
        <v>13</v>
      </c>
      <c r="D23" s="6" t="s">
        <v>32</v>
      </c>
      <c r="E23" s="6" t="s">
        <v>33</v>
      </c>
      <c r="F23" s="7" t="s">
        <v>81</v>
      </c>
      <c r="G23" s="7" t="s">
        <v>82</v>
      </c>
      <c r="H23" s="7" t="s">
        <v>36</v>
      </c>
      <c r="I23" s="6" t="s">
        <v>19</v>
      </c>
      <c r="J23" s="6" t="s">
        <v>66</v>
      </c>
      <c r="K23" s="6" t="s">
        <v>21</v>
      </c>
    </row>
    <row r="24" customFormat="false" ht="30" hidden="false" customHeight="true" outlineLevel="0" collapsed="false">
      <c r="A24" s="4" t="n">
        <v>46538</v>
      </c>
      <c r="B24" s="5" t="n">
        <v>0.375</v>
      </c>
      <c r="C24" s="6" t="s">
        <v>22</v>
      </c>
      <c r="D24" s="6" t="s">
        <v>14</v>
      </c>
      <c r="E24" s="6" t="s">
        <v>46</v>
      </c>
      <c r="F24" s="7" t="s">
        <v>83</v>
      </c>
      <c r="G24" s="7" t="s">
        <v>48</v>
      </c>
      <c r="H24" s="7" t="s">
        <v>49</v>
      </c>
      <c r="I24" s="6" t="s">
        <v>28</v>
      </c>
      <c r="J24" s="6" t="s">
        <v>66</v>
      </c>
      <c r="K24" s="6" t="s">
        <v>30</v>
      </c>
    </row>
    <row r="26" customFormat="false" ht="15" hidden="false" customHeight="false" outlineLevel="0" collapsed="false">
      <c r="A26" s="8" t="s">
        <v>84</v>
      </c>
    </row>
  </sheetData>
  <conditionalFormatting sqref="D5:D204">
    <cfRule type="expression" priority="2" aboveAverage="0" equalAverage="0" bottom="0" percent="0" rank="0" text="" dxfId="11">
      <formula>AND(D5&lt;&gt;"",D5=INDEX(Pillars,1))</formula>
    </cfRule>
    <cfRule type="expression" priority="3" aboveAverage="0" equalAverage="0" bottom="0" percent="0" rank="0" text="" dxfId="12">
      <formula>AND(D5&lt;&gt;"",D5=INDEX(Pillars,2))</formula>
    </cfRule>
    <cfRule type="expression" priority="4" aboveAverage="0" equalAverage="0" bottom="0" percent="0" rank="0" text="" dxfId="13">
      <formula>AND(D5&lt;&gt;"",D5=INDEX(Pillars,3))</formula>
    </cfRule>
    <cfRule type="expression" priority="5" aboveAverage="0" equalAverage="0" bottom="0" percent="0" rank="0" text="" dxfId="14">
      <formula>AND(D5&lt;&gt;"",D5=INDEX(Pillars,4))</formula>
    </cfRule>
  </conditionalFormatting>
  <conditionalFormatting sqref="J5:J204">
    <cfRule type="expression" priority="6" aboveAverage="0" equalAverage="0" bottom="0" percent="0" rank="0" text="" dxfId="15">
      <formula>AND(J5&lt;&gt;"",J5=INDEX(Statuses,1))</formula>
    </cfRule>
    <cfRule type="expression" priority="7" aboveAverage="0" equalAverage="0" bottom="0" percent="0" rank="0" text="" dxfId="16">
      <formula>AND(J5&lt;&gt;"",J5=INDEX(Statuses,2))</formula>
    </cfRule>
    <cfRule type="expression" priority="8" aboveAverage="0" equalAverage="0" bottom="0" percent="0" rank="0" text="" dxfId="17">
      <formula>AND(J5&lt;&gt;"",J5=INDEX(Statuses,3))</formula>
    </cfRule>
    <cfRule type="expression" priority="9" aboveAverage="0" equalAverage="0" bottom="0" percent="0" rank="0" text="" dxfId="18">
      <formula>AND(J5&lt;&gt;"",J5=INDEX(Statuses,4))</formula>
    </cfRule>
  </conditionalFormatting>
  <dataValidations count="6">
    <dataValidation allowBlank="true" errorStyle="stop" operator="between" showDropDown="false" showErrorMessage="false" showInputMessage="false" sqref="C5:C204" type="list">
      <formula1>Channels</formula1>
      <formula2>0</formula2>
    </dataValidation>
    <dataValidation allowBlank="true" errorStyle="stop" operator="between" showDropDown="false" showErrorMessage="false" showInputMessage="false" sqref="D5:D204" type="list">
      <formula1>Pillars</formula1>
      <formula2>0</formula2>
    </dataValidation>
    <dataValidation allowBlank="true" errorStyle="stop" operator="between" showDropDown="false" showErrorMessage="false" showInputMessage="false" sqref="E5:E204" type="list">
      <formula1>Formats</formula1>
      <formula2>0</formula2>
    </dataValidation>
    <dataValidation allowBlank="true" errorStyle="stop" operator="between" showDropDown="false" showErrorMessage="false" showInputMessage="false" sqref="J5:J204" type="list">
      <formula1>Statuses</formula1>
      <formula2>0</formula2>
    </dataValidation>
    <dataValidation allowBlank="true" errorStyle="stop" operator="greaterThan" showDropDown="false" showErrorMessage="false" showInputMessage="false" sqref="A5:A204" type="date">
      <formula1>DATE(2000,1,1)</formula1>
      <formula2>0</formula2>
    </dataValidation>
    <dataValidation allowBlank="true" errorStyle="stop" operator="between" showDropDown="false" showErrorMessage="false" showInputMessage="false" sqref="B5:B204" type="time">
      <formula1>0</formula1>
      <formula2>0.999305556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44"/>
  </cols>
  <sheetData>
    <row r="1" customFormat="false" ht="17.35" hidden="false" customHeight="false" outlineLevel="0" collapsed="false">
      <c r="A1" s="1" t="s">
        <v>85</v>
      </c>
    </row>
    <row r="2" customFormat="false" ht="15" hidden="false" customHeight="false" outlineLevel="0" collapsed="false">
      <c r="A2" s="2" t="s">
        <v>86</v>
      </c>
    </row>
    <row r="4" customFormat="false" ht="15" hidden="false" customHeight="false" outlineLevel="0" collapsed="false">
      <c r="A4" s="3" t="s">
        <v>4</v>
      </c>
      <c r="B4" s="3" t="s">
        <v>87</v>
      </c>
      <c r="C4" s="3" t="s">
        <v>88</v>
      </c>
      <c r="D4" s="3" t="s">
        <v>89</v>
      </c>
      <c r="E4" s="3" t="s">
        <v>90</v>
      </c>
    </row>
    <row r="5" customFormat="false" ht="31.5" hidden="false" customHeight="true" outlineLevel="0" collapsed="false">
      <c r="A5" s="7" t="s">
        <v>31</v>
      </c>
      <c r="B5" s="7" t="s">
        <v>91</v>
      </c>
      <c r="C5" s="7" t="s">
        <v>21</v>
      </c>
      <c r="D5" s="7" t="s">
        <v>92</v>
      </c>
      <c r="E5" s="7" t="s">
        <v>93</v>
      </c>
    </row>
    <row r="6" customFormat="false" ht="31.5" hidden="false" customHeight="true" outlineLevel="0" collapsed="false">
      <c r="A6" s="7" t="s">
        <v>22</v>
      </c>
      <c r="B6" s="7" t="s">
        <v>94</v>
      </c>
      <c r="C6" s="7" t="s">
        <v>30</v>
      </c>
      <c r="D6" s="7" t="s">
        <v>92</v>
      </c>
      <c r="E6" s="7" t="s">
        <v>95</v>
      </c>
    </row>
    <row r="7" customFormat="false" ht="31.5" hidden="false" customHeight="true" outlineLevel="0" collapsed="false">
      <c r="A7" s="7" t="s">
        <v>13</v>
      </c>
      <c r="B7" s="7" t="s">
        <v>96</v>
      </c>
      <c r="C7" s="7" t="s">
        <v>21</v>
      </c>
      <c r="D7" s="7" t="s">
        <v>92</v>
      </c>
      <c r="E7" s="7" t="s">
        <v>97</v>
      </c>
    </row>
    <row r="8" customFormat="false" ht="31.5" hidden="false" customHeight="true" outlineLevel="0" collapsed="false">
      <c r="A8" s="7" t="s">
        <v>38</v>
      </c>
      <c r="B8" s="7" t="s">
        <v>94</v>
      </c>
      <c r="C8" s="7" t="s">
        <v>30</v>
      </c>
      <c r="D8" s="7" t="s">
        <v>98</v>
      </c>
      <c r="E8" s="7" t="s">
        <v>99</v>
      </c>
    </row>
    <row r="9" customFormat="false" ht="31.5" hidden="false" customHeight="true" outlineLevel="0" collapsed="false">
      <c r="A9" s="7" t="s">
        <v>57</v>
      </c>
      <c r="B9" s="7" t="s">
        <v>100</v>
      </c>
      <c r="C9" s="7" t="s">
        <v>30</v>
      </c>
      <c r="D9" s="7" t="s">
        <v>92</v>
      </c>
      <c r="E9" s="7" t="s">
        <v>101</v>
      </c>
    </row>
    <row r="10" customFormat="false" ht="31.5" hidden="false" customHeight="true" outlineLevel="0" collapsed="false">
      <c r="A10" s="7" t="s">
        <v>50</v>
      </c>
      <c r="B10" s="7" t="s">
        <v>94</v>
      </c>
      <c r="C10" s="7" t="s">
        <v>21</v>
      </c>
      <c r="D10" s="7" t="s">
        <v>102</v>
      </c>
      <c r="E10" s="7" t="s">
        <v>103</v>
      </c>
    </row>
    <row r="12" customFormat="false" ht="15" hidden="false" customHeight="false" outlineLevel="0" collapsed="false">
      <c r="A12" s="8" t="s">
        <v>84</v>
      </c>
    </row>
  </sheetData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104</v>
      </c>
    </row>
    <row r="2" customFormat="false" ht="15" hidden="false" customHeight="false" outlineLevel="0" collapsed="false">
      <c r="A2" s="2" t="s">
        <v>105</v>
      </c>
    </row>
    <row r="4" customFormat="false" ht="15" hidden="false" customHeight="false" outlineLevel="0" collapsed="false">
      <c r="B4" s="9" t="s">
        <v>106</v>
      </c>
      <c r="C4" s="10" t="n">
        <v>5</v>
      </c>
    </row>
    <row r="5" customFormat="false" ht="15" hidden="false" customHeight="false" outlineLevel="0" collapsed="false">
      <c r="B5" s="9" t="s">
        <v>107</v>
      </c>
      <c r="C5" s="10" t="n">
        <v>2027</v>
      </c>
    </row>
    <row r="6" customFormat="false" ht="15" hidden="false" customHeight="false" outlineLevel="0" collapsed="false">
      <c r="B6" s="9" t="s">
        <v>108</v>
      </c>
      <c r="C6" s="11" t="n">
        <f aca="false">DATE(SelYear,SelMonth,1)</f>
        <v>46508</v>
      </c>
    </row>
    <row r="7" customFormat="false" ht="15" hidden="false" customHeight="false" outlineLevel="0" collapsed="false">
      <c r="B7" s="9" t="s">
        <v>109</v>
      </c>
      <c r="C7" s="11" t="n">
        <f aca="false">DATE(SelYear,SelMonth+1,0)</f>
        <v>46538</v>
      </c>
    </row>
    <row r="8" customFormat="false" ht="15" hidden="false" customHeight="false" outlineLevel="0" collapsed="false">
      <c r="B8" s="9" t="s">
        <v>110</v>
      </c>
      <c r="C8" s="11" t="n">
        <f aca="false">C6-WEEKDAY(C6,2)+1</f>
        <v>46503</v>
      </c>
    </row>
    <row r="10" customFormat="false" ht="15" hidden="false" customHeight="false" outlineLevel="0" collapsed="false">
      <c r="B10" s="3" t="s">
        <v>5</v>
      </c>
      <c r="C10" s="3" t="s">
        <v>111</v>
      </c>
      <c r="D10" s="3" t="s">
        <v>112</v>
      </c>
      <c r="E10" s="3" t="s">
        <v>113</v>
      </c>
    </row>
    <row r="11" customFormat="false" ht="31.5" hidden="false" customHeight="true" outlineLevel="0" collapsed="false">
      <c r="B11" s="12" t="s">
        <v>14</v>
      </c>
      <c r="C11" s="13" t="n">
        <v>0.4</v>
      </c>
      <c r="D11" s="14" t="s">
        <v>114</v>
      </c>
      <c r="E11" s="12" t="s">
        <v>16</v>
      </c>
    </row>
    <row r="12" customFormat="false" ht="31.5" hidden="false" customHeight="true" outlineLevel="0" collapsed="false">
      <c r="B12" s="12" t="s">
        <v>43</v>
      </c>
      <c r="C12" s="13" t="n">
        <v>0.3</v>
      </c>
      <c r="D12" s="15" t="s">
        <v>115</v>
      </c>
      <c r="E12" s="12" t="s">
        <v>44</v>
      </c>
    </row>
    <row r="13" customFormat="false" ht="31.5" hidden="false" customHeight="true" outlineLevel="0" collapsed="false">
      <c r="B13" s="12" t="s">
        <v>23</v>
      </c>
      <c r="C13" s="13" t="n">
        <v>0.2</v>
      </c>
      <c r="D13" s="16" t="s">
        <v>116</v>
      </c>
      <c r="E13" s="12" t="s">
        <v>25</v>
      </c>
    </row>
    <row r="14" customFormat="false" ht="31.5" hidden="false" customHeight="true" outlineLevel="0" collapsed="false">
      <c r="B14" s="12" t="s">
        <v>32</v>
      </c>
      <c r="C14" s="13" t="n">
        <v>0.1</v>
      </c>
      <c r="D14" s="17" t="s">
        <v>117</v>
      </c>
      <c r="E14" s="12" t="s">
        <v>34</v>
      </c>
    </row>
    <row r="15" customFormat="false" ht="15" hidden="false" customHeight="false" outlineLevel="0" collapsed="false">
      <c r="B15" s="9" t="s">
        <v>118</v>
      </c>
      <c r="C15" s="18" t="n">
        <f aca="false">SUM(C11:C14)</f>
        <v>1</v>
      </c>
    </row>
    <row r="16" customFormat="false" ht="15" hidden="false" customHeight="false" outlineLevel="0" collapsed="false">
      <c r="B16" s="8" t="s">
        <v>119</v>
      </c>
    </row>
    <row r="18" customFormat="false" ht="15" hidden="false" customHeight="false" outlineLevel="0" collapsed="false">
      <c r="B18" s="3" t="s">
        <v>6</v>
      </c>
      <c r="C18" s="3" t="s">
        <v>4</v>
      </c>
      <c r="D18" s="3" t="s">
        <v>11</v>
      </c>
    </row>
    <row r="19" customFormat="false" ht="15" hidden="false" customHeight="false" outlineLevel="0" collapsed="false">
      <c r="B19" s="12" t="s">
        <v>15</v>
      </c>
      <c r="C19" s="19" t="str">
        <f aca="false">Kanály!A5</f>
        <v>Facebook Page</v>
      </c>
      <c r="D19" s="12" t="s">
        <v>66</v>
      </c>
    </row>
    <row r="20" customFormat="false" ht="15" hidden="false" customHeight="false" outlineLevel="0" collapsed="false">
      <c r="B20" s="12" t="s">
        <v>46</v>
      </c>
      <c r="C20" s="19" t="str">
        <f aca="false">Kanály!A6</f>
        <v>Instagram</v>
      </c>
      <c r="D20" s="12" t="s">
        <v>37</v>
      </c>
    </row>
    <row r="21" customFormat="false" ht="15" hidden="false" customHeight="false" outlineLevel="0" collapsed="false">
      <c r="B21" s="12" t="s">
        <v>33</v>
      </c>
      <c r="C21" s="19" t="str">
        <f aca="false">Kanály!A7</f>
        <v>LinkedIn</v>
      </c>
      <c r="D21" s="12" t="s">
        <v>20</v>
      </c>
    </row>
    <row r="22" customFormat="false" ht="15" hidden="false" customHeight="false" outlineLevel="0" collapsed="false">
      <c r="B22" s="12" t="s">
        <v>24</v>
      </c>
      <c r="C22" s="19" t="str">
        <f aca="false">Kanály!A8</f>
        <v>TikTok</v>
      </c>
      <c r="D22" s="12" t="s">
        <v>29</v>
      </c>
    </row>
    <row r="23" customFormat="false" ht="15" hidden="false" customHeight="false" outlineLevel="0" collapsed="false">
      <c r="B23" s="12" t="s">
        <v>39</v>
      </c>
      <c r="C23" s="19" t="str">
        <f aca="false">Kanály!A9</f>
        <v>YouTube Shorts</v>
      </c>
    </row>
    <row r="24" customFormat="false" ht="15" hidden="false" customHeight="false" outlineLevel="0" collapsed="false">
      <c r="B24" s="12" t="s">
        <v>51</v>
      </c>
      <c r="C24" s="19" t="str">
        <f aca="false">Kanály!A10</f>
        <v>Threads</v>
      </c>
    </row>
    <row r="25" customFormat="false" ht="15" hidden="false" customHeight="false" outlineLevel="0" collapsed="false">
      <c r="B25" s="8" t="s">
        <v>120</v>
      </c>
    </row>
    <row r="27" customFormat="false" ht="15" hidden="false" customHeight="false" outlineLevel="0" collapsed="false">
      <c r="B27" s="8" t="s">
        <v>84</v>
      </c>
    </row>
  </sheetData>
  <sheetProtection sheet="true"/>
  <dataValidations count="2">
    <dataValidation allowBlank="false" errorStyle="stop" operator="between" showDropDown="false" showErrorMessage="false" showInputMessage="false" sqref="C4" type="list">
      <formula1>"1,2,3,4,5,6,7,8,9,10,11,12"</formula1>
      <formula2>0</formula2>
    </dataValidation>
    <dataValidation allowBlank="false" errorStyle="stop" operator="between" showDropDown="false" showErrorMessage="false" showInputMessage="false" sqref="C5" type="list">
      <formula1>"2026,2027,2028,2029,2030"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4" min="3" style="0" width="26"/>
    <col collapsed="false" customWidth="true" hidden="false" outlineLevel="0" max="6" min="5" style="0" width="28"/>
  </cols>
  <sheetData>
    <row r="1" customFormat="false" ht="17.35" hidden="false" customHeight="false" outlineLevel="0" collapsed="false">
      <c r="A1" s="1" t="s">
        <v>121</v>
      </c>
    </row>
    <row r="2" customFormat="false" ht="15" hidden="false" customHeight="false" outlineLevel="0" collapsed="false">
      <c r="A2" s="2" t="s">
        <v>122</v>
      </c>
    </row>
    <row r="4" customFormat="false" ht="15" hidden="false" customHeight="false" outlineLevel="0" collapsed="false">
      <c r="A4" s="3" t="s">
        <v>123</v>
      </c>
      <c r="B4" s="3" t="s">
        <v>124</v>
      </c>
      <c r="C4" s="3" t="s">
        <v>125</v>
      </c>
      <c r="D4" s="3" t="s">
        <v>126</v>
      </c>
      <c r="E4" s="3" t="s">
        <v>127</v>
      </c>
      <c r="F4" s="3" t="s">
        <v>128</v>
      </c>
    </row>
    <row r="5" customFormat="false" ht="31.5" hidden="false" customHeight="true" outlineLevel="0" collapsed="false">
      <c r="A5" s="7" t="s">
        <v>129</v>
      </c>
      <c r="B5" s="7" t="s">
        <v>130</v>
      </c>
      <c r="C5" s="7" t="s">
        <v>61</v>
      </c>
      <c r="D5" s="7" t="s">
        <v>131</v>
      </c>
      <c r="E5" s="7" t="s">
        <v>75</v>
      </c>
      <c r="F5" s="7" t="s">
        <v>132</v>
      </c>
    </row>
    <row r="6" customFormat="false" ht="31.5" hidden="false" customHeight="true" outlineLevel="0" collapsed="false">
      <c r="A6" s="7" t="s">
        <v>44</v>
      </c>
      <c r="B6" s="7" t="s">
        <v>133</v>
      </c>
      <c r="C6" s="7" t="s">
        <v>134</v>
      </c>
      <c r="D6" s="7" t="s">
        <v>135</v>
      </c>
      <c r="E6" s="7" t="s">
        <v>136</v>
      </c>
      <c r="F6" s="7" t="s">
        <v>137</v>
      </c>
    </row>
    <row r="7" customFormat="false" ht="31.5" hidden="false" customHeight="true" outlineLevel="0" collapsed="false">
      <c r="A7" s="7" t="s">
        <v>25</v>
      </c>
      <c r="B7" s="7" t="s">
        <v>138</v>
      </c>
      <c r="C7" s="7" t="s">
        <v>139</v>
      </c>
      <c r="D7" s="7" t="s">
        <v>140</v>
      </c>
      <c r="E7" s="7" t="s">
        <v>72</v>
      </c>
      <c r="F7" s="7" t="s">
        <v>141</v>
      </c>
    </row>
    <row r="8" customFormat="false" ht="31.5" hidden="false" customHeight="true" outlineLevel="0" collapsed="false">
      <c r="A8" s="20"/>
      <c r="B8" s="20"/>
      <c r="C8" s="20"/>
      <c r="D8" s="20"/>
      <c r="E8" s="20"/>
      <c r="F8" s="20"/>
    </row>
    <row r="9" customFormat="false" ht="31.5" hidden="false" customHeight="true" outlineLevel="0" collapsed="false">
      <c r="A9" s="20"/>
      <c r="B9" s="20"/>
      <c r="C9" s="20"/>
      <c r="D9" s="20"/>
      <c r="E9" s="20"/>
      <c r="F9" s="20"/>
    </row>
    <row r="10" customFormat="false" ht="31.5" hidden="false" customHeight="true" outlineLevel="0" collapsed="false">
      <c r="A10" s="20"/>
      <c r="B10" s="20"/>
      <c r="C10" s="20"/>
      <c r="D10" s="20"/>
      <c r="E10" s="20"/>
      <c r="F10" s="20"/>
    </row>
    <row r="11" customFormat="false" ht="31.5" hidden="false" customHeight="true" outlineLevel="0" collapsed="false">
      <c r="A11" s="20"/>
      <c r="B11" s="20"/>
      <c r="C11" s="20"/>
      <c r="D11" s="20"/>
      <c r="E11" s="20"/>
      <c r="F11" s="20"/>
    </row>
    <row r="12" customFormat="false" ht="31.5" hidden="false" customHeight="true" outlineLevel="0" collapsed="false">
      <c r="A12" s="20"/>
      <c r="B12" s="20"/>
      <c r="C12" s="20"/>
      <c r="D12" s="20"/>
      <c r="E12" s="20"/>
      <c r="F12" s="20"/>
    </row>
    <row r="14" customFormat="false" ht="15" hidden="false" customHeight="false" outlineLevel="0" collapsed="false">
      <c r="A14" s="8" t="s">
        <v>84</v>
      </c>
    </row>
  </sheetData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8" min="2" style="0" width="22"/>
  </cols>
  <sheetData>
    <row r="1" customFormat="false" ht="17.35" hidden="false" customHeight="false" outlineLevel="0" collapsed="false">
      <c r="A1" s="1" t="str">
        <f aca="false">"Kalendář — "&amp;CHOOSE(SelMonth,"leden","únor","březen","duben","květen","červen","červenec","srpen","září","říjen","listopad","prosinec")&amp;" "&amp;SelYear</f>
        <v>Kalendář — květen 2027</v>
      </c>
    </row>
    <row r="2" customFormat="false" ht="15" hidden="false" customHeight="false" outlineLevel="0" collapsed="false">
      <c r="A2" s="2" t="s">
        <v>142</v>
      </c>
    </row>
    <row r="3" customFormat="false" ht="15" hidden="false" customHeight="false" outlineLevel="0" collapsed="false">
      <c r="A3" s="21" t="s">
        <v>143</v>
      </c>
      <c r="B3" s="22" t="str">
        <f aca="false">INDEX(Pillars,1)</f>
        <v>Vzdělávací obsah</v>
      </c>
      <c r="C3" s="23" t="str">
        <f aca="false">INDEX(Pillars,2)</f>
        <v>Případové studie</v>
      </c>
      <c r="D3" s="24" t="str">
        <f aca="false">INDEX(Pillars,3)</f>
        <v>Komunita a zákulisí</v>
      </c>
      <c r="E3" s="25" t="str">
        <f aca="false">INDEX(Pillars,4)</f>
        <v>Přímý prodej</v>
      </c>
    </row>
    <row r="4" customFormat="false" ht="15" hidden="false" customHeight="false" outlineLevel="0" collapsed="false">
      <c r="A4" s="3" t="s">
        <v>144</v>
      </c>
      <c r="B4" s="3" t="s">
        <v>145</v>
      </c>
      <c r="C4" s="3" t="s">
        <v>146</v>
      </c>
      <c r="D4" s="3" t="s">
        <v>147</v>
      </c>
      <c r="E4" s="3" t="s">
        <v>148</v>
      </c>
      <c r="F4" s="3" t="s">
        <v>149</v>
      </c>
      <c r="G4" s="26" t="s">
        <v>150</v>
      </c>
      <c r="H4" s="26" t="s">
        <v>151</v>
      </c>
    </row>
    <row r="5" customFormat="false" ht="18" hidden="false" customHeight="true" outlineLevel="0" collapsed="false">
      <c r="A5" s="27" t="str">
        <f aca="false">IF(AND(MONTH((GridStart+0))&lt;&gt;SelMonth,MONTH((GridStart+0)+6)&lt;&gt;SelMonth),"","Týden "&amp;INT(((GridStart+0)+3-DATE(YEAR((GridStart+0)+3),1,1))/7)+1)</f>
        <v>Týden 17</v>
      </c>
      <c r="B5" s="28" t="str">
        <f aca="false">IF(MONTH((GridStart+0))=SelMonth,(GridStart+0),"")</f>
        <v/>
      </c>
      <c r="C5" s="28" t="str">
        <f aca="false">IF(MONTH((GridStart+1))=SelMonth,(GridStart+1),"")</f>
        <v/>
      </c>
      <c r="D5" s="28" t="str">
        <f aca="false">IF(MONTH((GridStart+2))=SelMonth,(GridStart+2),"")</f>
        <v/>
      </c>
      <c r="E5" s="28" t="str">
        <f aca="false">IF(MONTH((GridStart+3))=SelMonth,(GridStart+3),"")</f>
        <v/>
      </c>
      <c r="F5" s="28" t="str">
        <f aca="false">IF(MONTH((GridStart+4))=SelMonth,(GridStart+4),"")</f>
        <v/>
      </c>
      <c r="G5" s="29" t="n">
        <f aca="false">IF(MONTH((GridStart+5))=SelMonth,(GridStart+5),"")</f>
        <v>46508</v>
      </c>
      <c r="H5" s="29" t="n">
        <f aca="false">IF(MONTH((GridStart+6))=SelMonth,(GridStart+6),"")</f>
        <v>46509</v>
      </c>
    </row>
    <row r="6" customFormat="false" ht="15" hidden="false" customHeight="true" outlineLevel="0" collapsed="false">
      <c r="A6" s="30" t="s">
        <v>5</v>
      </c>
      <c r="B6" s="31" t="str">
        <f aca="false">IF(B5="","",IFERROR(INDEX(Příspěvky!$D$5:$D$204,MATCH(B5,Příspěvky!$A$5:$A$204,0)),""))</f>
        <v/>
      </c>
      <c r="C6" s="31" t="str">
        <f aca="false">IF(C5="","",IFERROR(INDEX(Příspěvky!$D$5:$D$204,MATCH(C5,Příspěvky!$A$5:$A$204,0)),""))</f>
        <v/>
      </c>
      <c r="D6" s="31" t="str">
        <f aca="false">IF(D5="","",IFERROR(INDEX(Příspěvky!$D$5:$D$204,MATCH(D5,Příspěvky!$A$5:$A$204,0)),""))</f>
        <v/>
      </c>
      <c r="E6" s="31" t="str">
        <f aca="false">IF(E5="","",IFERROR(INDEX(Příspěvky!$D$5:$D$204,MATCH(E5,Příspěvky!$A$5:$A$204,0)),""))</f>
        <v/>
      </c>
      <c r="F6" s="31" t="str">
        <f aca="false">IF(F5="","",IFERROR(INDEX(Příspěvky!$D$5:$D$204,MATCH(F5,Příspěvky!$A$5:$A$204,0)),""))</f>
        <v/>
      </c>
      <c r="G6" s="32" t="str">
        <f aca="false">IF(G5="","",IFERROR(INDEX(Příspěvky!$D$5:$D$204,MATCH(G5,Příspěvky!$A$5:$A$204,0)),""))</f>
        <v/>
      </c>
      <c r="H6" s="32" t="str">
        <f aca="false">IF(H5="","",IFERROR(INDEX(Příspěvky!$D$5:$D$204,MATCH(H5,Příspěvky!$A$5:$A$204,0)),""))</f>
        <v/>
      </c>
    </row>
    <row r="7" customFormat="false" ht="43.5" hidden="false" customHeight="true" outlineLevel="0" collapsed="false">
      <c r="A7" s="30" t="s">
        <v>7</v>
      </c>
      <c r="B7" s="33" t="str">
        <f aca="false">IF(B5="","",IFERROR(INDEX(Příspěvky!$F$5:$F$204,MATCH(B5,Příspěvky!$A$5:$A$204,0)),""))</f>
        <v/>
      </c>
      <c r="C7" s="33" t="str">
        <f aca="false">IF(C5="","",IFERROR(INDEX(Příspěvky!$F$5:$F$204,MATCH(C5,Příspěvky!$A$5:$A$204,0)),""))</f>
        <v/>
      </c>
      <c r="D7" s="33" t="str">
        <f aca="false">IF(D5="","",IFERROR(INDEX(Příspěvky!$F$5:$F$204,MATCH(D5,Příspěvky!$A$5:$A$204,0)),""))</f>
        <v/>
      </c>
      <c r="E7" s="33" t="str">
        <f aca="false">IF(E5="","",IFERROR(INDEX(Příspěvky!$F$5:$F$204,MATCH(E5,Příspěvky!$A$5:$A$204,0)),""))</f>
        <v/>
      </c>
      <c r="F7" s="33" t="str">
        <f aca="false">IF(F5="","",IFERROR(INDEX(Příspěvky!$F$5:$F$204,MATCH(F5,Příspěvky!$A$5:$A$204,0)),""))</f>
        <v/>
      </c>
      <c r="G7" s="34" t="str">
        <f aca="false">IF(G5="","",IFERROR(INDEX(Příspěvky!$F$5:$F$204,MATCH(G5,Příspěvky!$A$5:$A$204,0)),""))</f>
        <v/>
      </c>
      <c r="H7" s="34" t="str">
        <f aca="false">IF(H5="","",IFERROR(INDEX(Příspěvky!$F$5:$F$204,MATCH(H5,Příspěvky!$A$5:$A$204,0)),""))</f>
        <v/>
      </c>
    </row>
    <row r="8" customFormat="false" ht="27.75" hidden="false" customHeight="true" outlineLevel="0" collapsed="false">
      <c r="A8" s="35" t="s">
        <v>152</v>
      </c>
      <c r="B8" s="36" t="str">
        <f aca="false">IF(B5="","",IFERROR(INDEX(Příspěvky!$E$5:$E$204,MATCH(B5,Příspěvky!$A$5:$A$204,0))&amp;" · "&amp;INDEX(Příspěvky!$C$5:$C$204,MATCH(B5,Příspěvky!$A$5:$A$204,0))&amp;IF(COUNTIF(Příspěvky!$A$5:$A$204,B5)&gt;1," (+"&amp;(COUNTIF(Příspěvky!$A$5:$A$204,B5)-1)&amp;")",""),""))</f>
        <v/>
      </c>
      <c r="C8" s="36" t="str">
        <f aca="false">IF(C5="","",IFERROR(INDEX(Příspěvky!$E$5:$E$204,MATCH(C5,Příspěvky!$A$5:$A$204,0))&amp;" · "&amp;INDEX(Příspěvky!$C$5:$C$204,MATCH(C5,Příspěvky!$A$5:$A$204,0))&amp;IF(COUNTIF(Příspěvky!$A$5:$A$204,C5)&gt;1," (+"&amp;(COUNTIF(Příspěvky!$A$5:$A$204,C5)-1)&amp;")",""),""))</f>
        <v/>
      </c>
      <c r="D8" s="36" t="str">
        <f aca="false">IF(D5="","",IFERROR(INDEX(Příspěvky!$E$5:$E$204,MATCH(D5,Příspěvky!$A$5:$A$204,0))&amp;" · "&amp;INDEX(Příspěvky!$C$5:$C$204,MATCH(D5,Příspěvky!$A$5:$A$204,0))&amp;IF(COUNTIF(Příspěvky!$A$5:$A$204,D5)&gt;1," (+"&amp;(COUNTIF(Příspěvky!$A$5:$A$204,D5)-1)&amp;")",""),""))</f>
        <v/>
      </c>
      <c r="E8" s="36" t="str">
        <f aca="false">IF(E5="","",IFERROR(INDEX(Příspěvky!$E$5:$E$204,MATCH(E5,Příspěvky!$A$5:$A$204,0))&amp;" · "&amp;INDEX(Příspěvky!$C$5:$C$204,MATCH(E5,Příspěvky!$A$5:$A$204,0))&amp;IF(COUNTIF(Příspěvky!$A$5:$A$204,E5)&gt;1," (+"&amp;(COUNTIF(Příspěvky!$A$5:$A$204,E5)-1)&amp;")",""),""))</f>
        <v/>
      </c>
      <c r="F8" s="36" t="str">
        <f aca="false">IF(F5="","",IFERROR(INDEX(Příspěvky!$E$5:$E$204,MATCH(F5,Příspěvky!$A$5:$A$204,0))&amp;" · "&amp;INDEX(Příspěvky!$C$5:$C$204,MATCH(F5,Příspěvky!$A$5:$A$204,0))&amp;IF(COUNTIF(Příspěvky!$A$5:$A$204,F5)&gt;1," (+"&amp;(COUNTIF(Příspěvky!$A$5:$A$204,F5)-1)&amp;")",""),""))</f>
        <v/>
      </c>
      <c r="G8" s="37" t="str">
        <f aca="false">IF(G5="","",IFERROR(INDEX(Příspěvky!$E$5:$E$204,MATCH(G5,Příspěvky!$A$5:$A$204,0))&amp;" · "&amp;INDEX(Příspěvky!$C$5:$C$204,MATCH(G5,Příspěvky!$A$5:$A$204,0))&amp;IF(COUNTIF(Příspěvky!$A$5:$A$204,G5)&gt;1," (+"&amp;(COUNTIF(Příspěvky!$A$5:$A$204,G5)-1)&amp;")",""),""))</f>
        <v/>
      </c>
      <c r="H8" s="37" t="str">
        <f aca="false">IF(H5="","",IFERROR(INDEX(Příspěvky!$E$5:$E$204,MATCH(H5,Příspěvky!$A$5:$A$204,0))&amp;" · "&amp;INDEX(Příspěvky!$C$5:$C$204,MATCH(H5,Příspěvky!$A$5:$A$204,0))&amp;IF(COUNTIF(Příspěvky!$A$5:$A$204,H5)&gt;1," (+"&amp;(COUNTIF(Příspěvky!$A$5:$A$204,H5)-1)&amp;")",""),""))</f>
        <v/>
      </c>
    </row>
    <row r="9" customFormat="false" ht="18" hidden="false" customHeight="true" outlineLevel="0" collapsed="false">
      <c r="A9" s="27" t="str">
        <f aca="false">IF(AND(MONTH((GridStart+7))&lt;&gt;SelMonth,MONTH((GridStart+7)+6)&lt;&gt;SelMonth),"","Týden "&amp;INT(((GridStart+7)+3-DATE(YEAR((GridStart+7)+3),1,1))/7)+1)</f>
        <v>Týden 18</v>
      </c>
      <c r="B9" s="28" t="n">
        <f aca="false">IF(MONTH((GridStart+7))=SelMonth,(GridStart+7),"")</f>
        <v>46510</v>
      </c>
      <c r="C9" s="28" t="n">
        <f aca="false">IF(MONTH((GridStart+8))=SelMonth,(GridStart+8),"")</f>
        <v>46511</v>
      </c>
      <c r="D9" s="28" t="n">
        <f aca="false">IF(MONTH((GridStart+9))=SelMonth,(GridStart+9),"")</f>
        <v>46512</v>
      </c>
      <c r="E9" s="28" t="n">
        <f aca="false">IF(MONTH((GridStart+10))=SelMonth,(GridStart+10),"")</f>
        <v>46513</v>
      </c>
      <c r="F9" s="28" t="n">
        <f aca="false">IF(MONTH((GridStart+11))=SelMonth,(GridStart+11),"")</f>
        <v>46514</v>
      </c>
      <c r="G9" s="29" t="n">
        <f aca="false">IF(MONTH((GridStart+12))=SelMonth,(GridStart+12),"")</f>
        <v>46515</v>
      </c>
      <c r="H9" s="29" t="n">
        <f aca="false">IF(MONTH((GridStart+13))=SelMonth,(GridStart+13),"")</f>
        <v>46516</v>
      </c>
    </row>
    <row r="10" customFormat="false" ht="15" hidden="false" customHeight="true" outlineLevel="0" collapsed="false">
      <c r="A10" s="30" t="s">
        <v>5</v>
      </c>
      <c r="B10" s="31" t="str">
        <f aca="false">IF(B9="","",IFERROR(INDEX(Příspěvky!$D$5:$D$204,MATCH(B9,Příspěvky!$A$5:$A$204,0)),""))</f>
        <v>Vzdělávací obsah</v>
      </c>
      <c r="C10" s="31" t="str">
        <f aca="false">IF(C9="","",IFERROR(INDEX(Příspěvky!$D$5:$D$204,MATCH(C9,Příspěvky!$A$5:$A$204,0)),""))</f>
        <v>Komunita a zákulisí</v>
      </c>
      <c r="D10" s="31" t="str">
        <f aca="false">IF(D9="","",IFERROR(INDEX(Příspěvky!$D$5:$D$204,MATCH(D9,Příspěvky!$A$5:$A$204,0)),""))</f>
        <v/>
      </c>
      <c r="E10" s="31" t="str">
        <f aca="false">IF(E9="","",IFERROR(INDEX(Příspěvky!$D$5:$D$204,MATCH(E9,Příspěvky!$A$5:$A$204,0)),""))</f>
        <v>Přímý prodej</v>
      </c>
      <c r="F10" s="31" t="str">
        <f aca="false">IF(F9="","",IFERROR(INDEX(Příspěvky!$D$5:$D$204,MATCH(F9,Příspěvky!$A$5:$A$204,0)),""))</f>
        <v>Vzdělávací obsah</v>
      </c>
      <c r="G10" s="32" t="str">
        <f aca="false">IF(G9="","",IFERROR(INDEX(Příspěvky!$D$5:$D$204,MATCH(G9,Příspěvky!$A$5:$A$204,0)),""))</f>
        <v/>
      </c>
      <c r="H10" s="32" t="str">
        <f aca="false">IF(H9="","",IFERROR(INDEX(Příspěvky!$D$5:$D$204,MATCH(H9,Příspěvky!$A$5:$A$204,0)),""))</f>
        <v/>
      </c>
    </row>
    <row r="11" customFormat="false" ht="43.5" hidden="false" customHeight="true" outlineLevel="0" collapsed="false">
      <c r="A11" s="30" t="s">
        <v>7</v>
      </c>
      <c r="B11" s="33" t="str">
        <f aca="false">IF(B9="","",IFERROR(INDEX(Příspěvky!$F$5:$F$204,MATCH(B9,Příspěvky!$A$5:$A$204,0)),""))</f>
        <v>Jak vyřešit reklamaci</v>
      </c>
      <c r="C11" s="33" t="str">
        <f aca="false">IF(C9="","",IFERROR(INDEX(Příspěvky!$F$5:$F$204,MATCH(C9,Příspěvky!$A$5:$A$204,0)),""))</f>
        <v>Den v kanceláři</v>
      </c>
      <c r="D11" s="33" t="str">
        <f aca="false">IF(D9="","",IFERROR(INDEX(Příspěvky!$F$5:$F$204,MATCH(D9,Příspěvky!$A$5:$A$204,0)),""))</f>
        <v/>
      </c>
      <c r="E11" s="33" t="str">
        <f aca="false">IF(E9="","",IFERROR(INDEX(Příspěvky!$F$5:$F$204,MATCH(E9,Příspěvky!$A$5:$A$204,0)),""))</f>
        <v>Nová služba</v>
      </c>
      <c r="F11" s="33" t="str">
        <f aca="false">IF(F9="","",IFERROR(INDEX(Příspěvky!$F$5:$F$204,MATCH(F9,Příspěvky!$A$5:$A$204,0)),""))</f>
        <v>Reklamace za 45 sekund</v>
      </c>
      <c r="G11" s="34" t="str">
        <f aca="false">IF(G9="","",IFERROR(INDEX(Příspěvky!$F$5:$F$204,MATCH(G9,Příspěvky!$A$5:$A$204,0)),""))</f>
        <v/>
      </c>
      <c r="H11" s="34" t="str">
        <f aca="false">IF(H9="","",IFERROR(INDEX(Příspěvky!$F$5:$F$204,MATCH(H9,Příspěvky!$A$5:$A$204,0)),""))</f>
        <v/>
      </c>
    </row>
    <row r="12" customFormat="false" ht="27.75" hidden="false" customHeight="true" outlineLevel="0" collapsed="false">
      <c r="A12" s="35" t="s">
        <v>152</v>
      </c>
      <c r="B12" s="36" t="str">
        <f aca="false">IF(B9="","",IFERROR(INDEX(Příspěvky!$E$5:$E$204,MATCH(B9,Příspěvky!$A$5:$A$204,0))&amp;" · "&amp;INDEX(Příspěvky!$C$5:$C$204,MATCH(B9,Příspěvky!$A$5:$A$204,0))&amp;IF(COUNTIF(Příspěvky!$A$5:$A$204,B9)&gt;1," (+"&amp;(COUNTIF(Příspěvky!$A$5:$A$204,B9)-1)&amp;")",""),""))</f>
        <v>Dokument · LinkedIn</v>
      </c>
      <c r="C12" s="36" t="str">
        <f aca="false">IF(C9="","",IFERROR(INDEX(Příspěvky!$E$5:$E$204,MATCH(C9,Příspěvky!$A$5:$A$204,0))&amp;" · "&amp;INDEX(Příspěvky!$C$5:$C$204,MATCH(C9,Příspěvky!$A$5:$A$204,0))&amp;IF(COUNTIF(Příspěvky!$A$5:$A$204,C9)&gt;1," (+"&amp;(COUNTIF(Příspěvky!$A$5:$A$204,C9)-1)&amp;")",""),""))</f>
        <v>Reels · Instagram</v>
      </c>
      <c r="D12" s="36" t="str">
        <f aca="false">IF(D9="","",IFERROR(INDEX(Příspěvky!$E$5:$E$204,MATCH(D9,Příspěvky!$A$5:$A$204,0))&amp;" · "&amp;INDEX(Příspěvky!$C$5:$C$204,MATCH(D9,Příspěvky!$A$5:$A$204,0))&amp;IF(COUNTIF(Příspěvky!$A$5:$A$204,D9)&gt;1," (+"&amp;(COUNTIF(Příspěvky!$A$5:$A$204,D9)-1)&amp;")",""),""))</f>
        <v/>
      </c>
      <c r="E12" s="36" t="str">
        <f aca="false">IF(E9="","",IFERROR(INDEX(Příspěvky!$E$5:$E$204,MATCH(E9,Příspěvky!$A$5:$A$204,0))&amp;" · "&amp;INDEX(Příspěvky!$C$5:$C$204,MATCH(E9,Příspěvky!$A$5:$A$204,0))&amp;IF(COUNTIF(Příspěvky!$A$5:$A$204,E9)&gt;1," (+"&amp;(COUNTIF(Příspěvky!$A$5:$A$204,E9)-1)&amp;")",""),""))</f>
        <v>Obrázek · Facebook Page</v>
      </c>
      <c r="F12" s="36" t="str">
        <f aca="false">IF(F9="","",IFERROR(INDEX(Příspěvky!$E$5:$E$204,MATCH(F9,Příspěvky!$A$5:$A$204,0))&amp;" · "&amp;INDEX(Příspěvky!$C$5:$C$204,MATCH(F9,Příspěvky!$A$5:$A$204,0))&amp;IF(COUNTIF(Příspěvky!$A$5:$A$204,F9)&gt;1," (+"&amp;(COUNTIF(Příspěvky!$A$5:$A$204,F9)-1)&amp;")",""),""))</f>
        <v>Krátké video · TikTok</v>
      </c>
      <c r="G12" s="37" t="str">
        <f aca="false">IF(G9="","",IFERROR(INDEX(Příspěvky!$E$5:$E$204,MATCH(G9,Příspěvky!$A$5:$A$204,0))&amp;" · "&amp;INDEX(Příspěvky!$C$5:$C$204,MATCH(G9,Příspěvky!$A$5:$A$204,0))&amp;IF(COUNTIF(Příspěvky!$A$5:$A$204,G9)&gt;1," (+"&amp;(COUNTIF(Příspěvky!$A$5:$A$204,G9)-1)&amp;")",""),""))</f>
        <v/>
      </c>
      <c r="H12" s="37" t="str">
        <f aca="false">IF(H9="","",IFERROR(INDEX(Příspěvky!$E$5:$E$204,MATCH(H9,Příspěvky!$A$5:$A$204,0))&amp;" · "&amp;INDEX(Příspěvky!$C$5:$C$204,MATCH(H9,Příspěvky!$A$5:$A$204,0))&amp;IF(COUNTIF(Příspěvky!$A$5:$A$204,H9)&gt;1," (+"&amp;(COUNTIF(Příspěvky!$A$5:$A$204,H9)-1)&amp;")",""),""))</f>
        <v/>
      </c>
    </row>
    <row r="13" customFormat="false" ht="18" hidden="false" customHeight="true" outlineLevel="0" collapsed="false">
      <c r="A13" s="27" t="str">
        <f aca="false">IF(AND(MONTH((GridStart+14))&lt;&gt;SelMonth,MONTH((GridStart+14)+6)&lt;&gt;SelMonth),"","Týden "&amp;INT(((GridStart+14)+3-DATE(YEAR((GridStart+14)+3),1,1))/7)+1)</f>
        <v>Týden 19</v>
      </c>
      <c r="B13" s="28" t="n">
        <f aca="false">IF(MONTH((GridStart+14))=SelMonth,(GridStart+14),"")</f>
        <v>46517</v>
      </c>
      <c r="C13" s="28" t="n">
        <f aca="false">IF(MONTH((GridStart+15))=SelMonth,(GridStart+15),"")</f>
        <v>46518</v>
      </c>
      <c r="D13" s="28" t="n">
        <f aca="false">IF(MONTH((GridStart+16))=SelMonth,(GridStart+16),"")</f>
        <v>46519</v>
      </c>
      <c r="E13" s="28" t="n">
        <f aca="false">IF(MONTH((GridStart+17))=SelMonth,(GridStart+17),"")</f>
        <v>46520</v>
      </c>
      <c r="F13" s="28" t="n">
        <f aca="false">IF(MONTH((GridStart+18))=SelMonth,(GridStart+18),"")</f>
        <v>46521</v>
      </c>
      <c r="G13" s="29" t="n">
        <f aca="false">IF(MONTH((GridStart+19))=SelMonth,(GridStart+19),"")</f>
        <v>46522</v>
      </c>
      <c r="H13" s="29" t="n">
        <f aca="false">IF(MONTH((GridStart+20))=SelMonth,(GridStart+20),"")</f>
        <v>46523</v>
      </c>
    </row>
    <row r="14" customFormat="false" ht="15" hidden="false" customHeight="true" outlineLevel="0" collapsed="false">
      <c r="A14" s="30" t="s">
        <v>5</v>
      </c>
      <c r="B14" s="31" t="str">
        <f aca="false">IF(B13="","",IFERROR(INDEX(Příspěvky!$D$5:$D$204,MATCH(B13,Příspěvky!$A$5:$A$204,0)),""))</f>
        <v>Případové studie</v>
      </c>
      <c r="C14" s="31" t="str">
        <f aca="false">IF(C13="","",IFERROR(INDEX(Příspěvky!$D$5:$D$204,MATCH(C13,Příspěvky!$A$5:$A$204,0)),""))</f>
        <v>Vzdělávací obsah</v>
      </c>
      <c r="D14" s="31" t="str">
        <f aca="false">IF(D13="","",IFERROR(INDEX(Příspěvky!$D$5:$D$204,MATCH(D13,Příspěvky!$A$5:$A$204,0)),""))</f>
        <v>Komunita a zákulisí</v>
      </c>
      <c r="E14" s="31" t="str">
        <f aca="false">IF(E13="","",IFERROR(INDEX(Příspěvky!$D$5:$D$204,MATCH(E13,Příspěvky!$A$5:$A$204,0)),""))</f>
        <v>Vzdělávací obsah</v>
      </c>
      <c r="F14" s="31" t="str">
        <f aca="false">IF(F13="","",IFERROR(INDEX(Příspěvky!$D$5:$D$204,MATCH(F13,Příspěvky!$A$5:$A$204,0)),""))</f>
        <v>Případové studie</v>
      </c>
      <c r="G14" s="32" t="str">
        <f aca="false">IF(G13="","",IFERROR(INDEX(Příspěvky!$D$5:$D$204,MATCH(G13,Příspěvky!$A$5:$A$204,0)),""))</f>
        <v/>
      </c>
      <c r="H14" s="32" t="str">
        <f aca="false">IF(H13="","",IFERROR(INDEX(Příspěvky!$D$5:$D$204,MATCH(H13,Příspěvky!$A$5:$A$204,0)),""))</f>
        <v/>
      </c>
    </row>
    <row r="15" customFormat="false" ht="43.5" hidden="false" customHeight="true" outlineLevel="0" collapsed="false">
      <c r="A15" s="30" t="s">
        <v>7</v>
      </c>
      <c r="B15" s="33" t="str">
        <f aca="false">IF(B13="","",IFERROR(INDEX(Příspěvky!$F$5:$F$204,MATCH(B13,Příspěvky!$A$5:$A$204,0)),""))</f>
        <v>Co změnil e-shop s obuví v procesu reklamací</v>
      </c>
      <c r="C15" s="33" t="str">
        <f aca="false">IF(C13="","",IFERROR(INDEX(Příspěvky!$F$5:$F$204,MATCH(C13,Příspěvky!$A$5:$A$204,0)),""))</f>
        <v>6 tipů na odpověď nespokojenému zákazníkovi</v>
      </c>
      <c r="D15" s="33" t="str">
        <f aca="false">IF(D13="","",IFERROR(INDEX(Příspěvky!$F$5:$F$204,MATCH(D13,Příspěvky!$A$5:$A$204,0)),""))</f>
        <v>Jaká reklamace vás nejvíc překvapila?</v>
      </c>
      <c r="E15" s="33" t="str">
        <f aca="false">IF(E13="","",IFERROR(INDEX(Příspěvky!$F$5:$F$204,MATCH(E13,Příspěvky!$A$5:$A$204,0)),""))</f>
        <v>Lhůty pro vyřízení reklamace</v>
      </c>
      <c r="F15" s="33" t="str">
        <f aca="false">IF(F13="","",IFERROR(INDEX(Příspěvky!$F$5:$F$204,MATCH(F13,Příspěvky!$A$5:$A$204,0)),""))</f>
        <v>Klient vypráví: první měsíc s novým postupem</v>
      </c>
      <c r="G15" s="34" t="str">
        <f aca="false">IF(G13="","",IFERROR(INDEX(Příspěvky!$F$5:$F$204,MATCH(G13,Příspěvky!$A$5:$A$204,0)),""))</f>
        <v/>
      </c>
      <c r="H15" s="34" t="str">
        <f aca="false">IF(H13="","",IFERROR(INDEX(Příspěvky!$F$5:$F$204,MATCH(H13,Příspěvky!$A$5:$A$204,0)),""))</f>
        <v/>
      </c>
    </row>
    <row r="16" customFormat="false" ht="27.75" hidden="false" customHeight="true" outlineLevel="0" collapsed="false">
      <c r="A16" s="35" t="s">
        <v>152</v>
      </c>
      <c r="B16" s="36" t="str">
        <f aca="false">IF(B13="","",IFERROR(INDEX(Příspěvky!$E$5:$E$204,MATCH(B13,Příspěvky!$A$5:$A$204,0))&amp;" · "&amp;INDEX(Příspěvky!$C$5:$C$204,MATCH(B13,Příspěvky!$A$5:$A$204,0))&amp;IF(COUNTIF(Příspěvky!$A$5:$A$204,B13)&gt;1," (+"&amp;(COUNTIF(Příspěvky!$A$5:$A$204,B13)-1)&amp;")",""),""))</f>
        <v>Dokument · LinkedIn</v>
      </c>
      <c r="C16" s="36" t="str">
        <f aca="false">IF(C13="","",IFERROR(INDEX(Příspěvky!$E$5:$E$204,MATCH(C13,Příspěvky!$A$5:$A$204,0))&amp;" · "&amp;INDEX(Příspěvky!$C$5:$C$204,MATCH(C13,Příspěvky!$A$5:$A$204,0))&amp;IF(COUNTIF(Příspěvky!$A$5:$A$204,C13)&gt;1," (+"&amp;(COUNTIF(Příspěvky!$A$5:$A$204,C13)-1)&amp;")",""),""))</f>
        <v>Karusel · Instagram</v>
      </c>
      <c r="D16" s="36" t="str">
        <f aca="false">IF(D13="","",IFERROR(INDEX(Příspěvky!$E$5:$E$204,MATCH(D13,Příspěvky!$A$5:$A$204,0))&amp;" · "&amp;INDEX(Příspěvky!$C$5:$C$204,MATCH(D13,Příspěvky!$A$5:$A$204,0))&amp;IF(COUNTIF(Příspěvky!$A$5:$A$204,D13)&gt;1," (+"&amp;(COUNTIF(Příspěvky!$A$5:$A$204,D13)-1)&amp;")",""),""))</f>
        <v>Text · Threads</v>
      </c>
      <c r="E16" s="36" t="str">
        <f aca="false">IF(E13="","",IFERROR(INDEX(Příspěvky!$E$5:$E$204,MATCH(E13,Příspěvky!$A$5:$A$204,0))&amp;" · "&amp;INDEX(Příspěvky!$C$5:$C$204,MATCH(E13,Příspěvky!$A$5:$A$204,0))&amp;IF(COUNTIF(Příspěvky!$A$5:$A$204,E13)&gt;1," (+"&amp;(COUNTIF(Příspěvky!$A$5:$A$204,E13)-1)&amp;")",""),""))</f>
        <v>Obrázek · Facebook Page</v>
      </c>
      <c r="F16" s="36" t="str">
        <f aca="false">IF(F13="","",IFERROR(INDEX(Příspěvky!$E$5:$E$204,MATCH(F13,Příspěvky!$A$5:$A$204,0))&amp;" · "&amp;INDEX(Příspěvky!$C$5:$C$204,MATCH(F13,Příspěvky!$A$5:$A$204,0))&amp;IF(COUNTIF(Příspěvky!$A$5:$A$204,F13)&gt;1," (+"&amp;(COUNTIF(Příspěvky!$A$5:$A$204,F13)-1)&amp;")",""),""))</f>
        <v>Krátké video · YouTube Shorts</v>
      </c>
      <c r="G16" s="37" t="str">
        <f aca="false">IF(G13="","",IFERROR(INDEX(Příspěvky!$E$5:$E$204,MATCH(G13,Příspěvky!$A$5:$A$204,0))&amp;" · "&amp;INDEX(Příspěvky!$C$5:$C$204,MATCH(G13,Příspěvky!$A$5:$A$204,0))&amp;IF(COUNTIF(Příspěvky!$A$5:$A$204,G13)&gt;1," (+"&amp;(COUNTIF(Příspěvky!$A$5:$A$204,G13)-1)&amp;")",""),""))</f>
        <v/>
      </c>
      <c r="H16" s="37" t="str">
        <f aca="false">IF(H13="","",IFERROR(INDEX(Příspěvky!$E$5:$E$204,MATCH(H13,Příspěvky!$A$5:$A$204,0))&amp;" · "&amp;INDEX(Příspěvky!$C$5:$C$204,MATCH(H13,Příspěvky!$A$5:$A$204,0))&amp;IF(COUNTIF(Příspěvky!$A$5:$A$204,H13)&gt;1," (+"&amp;(COUNTIF(Příspěvky!$A$5:$A$204,H13)-1)&amp;")",""),""))</f>
        <v/>
      </c>
    </row>
    <row r="17" customFormat="false" ht="18" hidden="false" customHeight="true" outlineLevel="0" collapsed="false">
      <c r="A17" s="27" t="str">
        <f aca="false">IF(AND(MONTH((GridStart+21))&lt;&gt;SelMonth,MONTH((GridStart+21)+6)&lt;&gt;SelMonth),"","Týden "&amp;INT(((GridStart+21)+3-DATE(YEAR((GridStart+21)+3),1,1))/7)+1)</f>
        <v>Týden 20</v>
      </c>
      <c r="B17" s="28" t="n">
        <f aca="false">IF(MONTH((GridStart+21))=SelMonth,(GridStart+21),"")</f>
        <v>46524</v>
      </c>
      <c r="C17" s="28" t="n">
        <f aca="false">IF(MONTH((GridStart+22))=SelMonth,(GridStart+22),"")</f>
        <v>46525</v>
      </c>
      <c r="D17" s="28" t="n">
        <f aca="false">IF(MONTH((GridStart+23))=SelMonth,(GridStart+23),"")</f>
        <v>46526</v>
      </c>
      <c r="E17" s="28" t="n">
        <f aca="false">IF(MONTH((GridStart+24))=SelMonth,(GridStart+24),"")</f>
        <v>46527</v>
      </c>
      <c r="F17" s="28" t="n">
        <f aca="false">IF(MONTH((GridStart+25))=SelMonth,(GridStart+25),"")</f>
        <v>46528</v>
      </c>
      <c r="G17" s="29" t="n">
        <f aca="false">IF(MONTH((GridStart+26))=SelMonth,(GridStart+26),"")</f>
        <v>46529</v>
      </c>
      <c r="H17" s="29" t="n">
        <f aca="false">IF(MONTH((GridStart+27))=SelMonth,(GridStart+27),"")</f>
        <v>46530</v>
      </c>
    </row>
    <row r="18" customFormat="false" ht="15" hidden="false" customHeight="true" outlineLevel="0" collapsed="false">
      <c r="A18" s="30" t="s">
        <v>5</v>
      </c>
      <c r="B18" s="31" t="str">
        <f aca="false">IF(B17="","",IFERROR(INDEX(Příspěvky!$D$5:$D$204,MATCH(B17,Příspěvky!$A$5:$A$204,0)),""))</f>
        <v>Vzdělávací obsah</v>
      </c>
      <c r="C18" s="31" t="str">
        <f aca="false">IF(C17="","",IFERROR(INDEX(Příspěvky!$D$5:$D$204,MATCH(C17,Příspěvky!$A$5:$A$204,0)),""))</f>
        <v>Případové studie</v>
      </c>
      <c r="D18" s="31" t="str">
        <f aca="false">IF(D17="","",IFERROR(INDEX(Příspěvky!$D$5:$D$204,MATCH(D17,Příspěvky!$A$5:$A$204,0)),""))</f>
        <v>Přímý prodej</v>
      </c>
      <c r="E18" s="31" t="str">
        <f aca="false">IF(E17="","",IFERROR(INDEX(Příspěvky!$D$5:$D$204,MATCH(E17,Příspěvky!$A$5:$A$204,0)),""))</f>
        <v>Vzdělávací obsah</v>
      </c>
      <c r="F18" s="31" t="str">
        <f aca="false">IF(F17="","",IFERROR(INDEX(Příspěvky!$D$5:$D$204,MATCH(F17,Příspěvky!$A$5:$A$204,0)),""))</f>
        <v>Případové studie</v>
      </c>
      <c r="G18" s="32" t="str">
        <f aca="false">IF(G17="","",IFERROR(INDEX(Příspěvky!$D$5:$D$204,MATCH(G17,Příspěvky!$A$5:$A$204,0)),""))</f>
        <v/>
      </c>
      <c r="H18" s="32" t="str">
        <f aca="false">IF(H17="","",IFERROR(INDEX(Příspěvky!$D$5:$D$204,MATCH(H17,Příspěvky!$A$5:$A$204,0)),""))</f>
        <v/>
      </c>
    </row>
    <row r="19" customFormat="false" ht="43.5" hidden="false" customHeight="true" outlineLevel="0" collapsed="false">
      <c r="A19" s="30" t="s">
        <v>7</v>
      </c>
      <c r="B19" s="33" t="str">
        <f aca="false">IF(B17="","",IFERROR(INDEX(Příspěvky!$F$5:$F$204,MATCH(B17,Příspěvky!$A$5:$A$204,0)),""))</f>
        <v>Šablona odpovědi na reklamaci</v>
      </c>
      <c r="C19" s="33" t="str">
        <f aca="false">IF(C17="","",IFERROR(INDEX(Příspěvky!$F$5:$F$204,MATCH(C17,Příspěvky!$A$5:$A$204,0)),""))</f>
        <v>Před a po: e-mail zákazníkovi</v>
      </c>
      <c r="D19" s="33" t="str">
        <f aca="false">IF(D17="","",IFERROR(INDEX(Příspěvky!$F$5:$F$204,MATCH(D17,Příspěvky!$A$5:$A$204,0)),""))</f>
        <v>Konzultace zdarma: audit reklamačního procesu</v>
      </c>
      <c r="E19" s="33" t="str">
        <f aca="false">IF(E17="","",IFERROR(INDEX(Příspěvky!$F$5:$F$204,MATCH(E17,Příspěvky!$A$5:$A$204,0)),""))</f>
        <v>3 věty, které zákazníka uklidní</v>
      </c>
      <c r="F19" s="33" t="str">
        <f aca="false">IF(F17="","",IFERROR(INDEX(Příspěvky!$F$5:$F$204,MATCH(F17,Příspěvky!$A$5:$A$204,0)),""))</f>
        <v>Případová studie: servis elektroniky</v>
      </c>
      <c r="G19" s="34" t="str">
        <f aca="false">IF(G17="","",IFERROR(INDEX(Příspěvky!$F$5:$F$204,MATCH(G17,Příspěvky!$A$5:$A$204,0)),""))</f>
        <v/>
      </c>
      <c r="H19" s="34" t="str">
        <f aca="false">IF(H17="","",IFERROR(INDEX(Příspěvky!$F$5:$F$204,MATCH(H17,Příspěvky!$A$5:$A$204,0)),""))</f>
        <v/>
      </c>
    </row>
    <row r="20" customFormat="false" ht="27.75" hidden="false" customHeight="true" outlineLevel="0" collapsed="false">
      <c r="A20" s="35" t="s">
        <v>152</v>
      </c>
      <c r="B20" s="36" t="str">
        <f aca="false">IF(B17="","",IFERROR(INDEX(Příspěvky!$E$5:$E$204,MATCH(B17,Příspěvky!$A$5:$A$204,0))&amp;" · "&amp;INDEX(Příspěvky!$C$5:$C$204,MATCH(B17,Příspěvky!$A$5:$A$204,0))&amp;IF(COUNTIF(Příspěvky!$A$5:$A$204,B17)&gt;1," (+"&amp;(COUNTIF(Příspěvky!$A$5:$A$204,B17)-1)&amp;")",""),""))</f>
        <v>Text · LinkedIn</v>
      </c>
      <c r="C20" s="36" t="str">
        <f aca="false">IF(C17="","",IFERROR(INDEX(Příspěvky!$E$5:$E$204,MATCH(C17,Příspěvky!$A$5:$A$204,0))&amp;" · "&amp;INDEX(Příspěvky!$C$5:$C$204,MATCH(C17,Příspěvky!$A$5:$A$204,0))&amp;IF(COUNTIF(Příspěvky!$A$5:$A$204,C17)&gt;1," (+"&amp;(COUNTIF(Příspěvky!$A$5:$A$204,C17)-1)&amp;")",""),""))</f>
        <v>Reels · Instagram</v>
      </c>
      <c r="D20" s="36" t="str">
        <f aca="false">IF(D17="","",IFERROR(INDEX(Příspěvky!$E$5:$E$204,MATCH(D17,Příspěvky!$A$5:$A$204,0))&amp;" · "&amp;INDEX(Příspěvky!$C$5:$C$204,MATCH(D17,Příspěvky!$A$5:$A$204,0))&amp;IF(COUNTIF(Příspěvky!$A$5:$A$204,D17)&gt;1," (+"&amp;(COUNTIF(Příspěvky!$A$5:$A$204,D17)-1)&amp;")",""),""))</f>
        <v>Obrázek · Facebook Page</v>
      </c>
      <c r="E20" s="36" t="str">
        <f aca="false">IF(E17="","",IFERROR(INDEX(Příspěvky!$E$5:$E$204,MATCH(E17,Příspěvky!$A$5:$A$204,0))&amp;" · "&amp;INDEX(Příspěvky!$C$5:$C$204,MATCH(E17,Příspěvky!$A$5:$A$204,0))&amp;IF(COUNTIF(Příspěvky!$A$5:$A$204,E17)&gt;1," (+"&amp;(COUNTIF(Příspěvky!$A$5:$A$204,E17)-1)&amp;")",""),""))</f>
        <v>Krátké video · TikTok</v>
      </c>
      <c r="F20" s="36" t="str">
        <f aca="false">IF(F17="","",IFERROR(INDEX(Příspěvky!$E$5:$E$204,MATCH(F17,Příspěvky!$A$5:$A$204,0))&amp;" · "&amp;INDEX(Příspěvky!$C$5:$C$204,MATCH(F17,Příspěvky!$A$5:$A$204,0))&amp;IF(COUNTIF(Příspěvky!$A$5:$A$204,F17)&gt;1," (+"&amp;(COUNTIF(Příspěvky!$A$5:$A$204,F17)-1)&amp;")",""),""))</f>
        <v>Dokument · LinkedIn</v>
      </c>
      <c r="G20" s="37" t="str">
        <f aca="false">IF(G17="","",IFERROR(INDEX(Příspěvky!$E$5:$E$204,MATCH(G17,Příspěvky!$A$5:$A$204,0))&amp;" · "&amp;INDEX(Příspěvky!$C$5:$C$204,MATCH(G17,Příspěvky!$A$5:$A$204,0))&amp;IF(COUNTIF(Příspěvky!$A$5:$A$204,G17)&gt;1," (+"&amp;(COUNTIF(Příspěvky!$A$5:$A$204,G17)-1)&amp;")",""),""))</f>
        <v/>
      </c>
      <c r="H20" s="37" t="str">
        <f aca="false">IF(H17="","",IFERROR(INDEX(Příspěvky!$E$5:$E$204,MATCH(H17,Příspěvky!$A$5:$A$204,0))&amp;" · "&amp;INDEX(Příspěvky!$C$5:$C$204,MATCH(H17,Příspěvky!$A$5:$A$204,0))&amp;IF(COUNTIF(Příspěvky!$A$5:$A$204,H17)&gt;1," (+"&amp;(COUNTIF(Příspěvky!$A$5:$A$204,H17)-1)&amp;")",""),""))</f>
        <v/>
      </c>
    </row>
    <row r="21" customFormat="false" ht="18" hidden="false" customHeight="true" outlineLevel="0" collapsed="false">
      <c r="A21" s="27" t="str">
        <f aca="false">IF(AND(MONTH((GridStart+28))&lt;&gt;SelMonth,MONTH((GridStart+28)+6)&lt;&gt;SelMonth),"","Týden "&amp;INT(((GridStart+28)+3-DATE(YEAR((GridStart+28)+3),1,1))/7)+1)</f>
        <v>Týden 21</v>
      </c>
      <c r="B21" s="28" t="n">
        <f aca="false">IF(MONTH((GridStart+28))=SelMonth,(GridStart+28),"")</f>
        <v>46531</v>
      </c>
      <c r="C21" s="28" t="n">
        <f aca="false">IF(MONTH((GridStart+29))=SelMonth,(GridStart+29),"")</f>
        <v>46532</v>
      </c>
      <c r="D21" s="28" t="n">
        <f aca="false">IF(MONTH((GridStart+30))=SelMonth,(GridStart+30),"")</f>
        <v>46533</v>
      </c>
      <c r="E21" s="28" t="n">
        <f aca="false">IF(MONTH((GridStart+31))=SelMonth,(GridStart+31),"")</f>
        <v>46534</v>
      </c>
      <c r="F21" s="28" t="n">
        <f aca="false">IF(MONTH((GridStart+32))=SelMonth,(GridStart+32),"")</f>
        <v>46535</v>
      </c>
      <c r="G21" s="29" t="n">
        <f aca="false">IF(MONTH((GridStart+33))=SelMonth,(GridStart+33),"")</f>
        <v>46536</v>
      </c>
      <c r="H21" s="29" t="n">
        <f aca="false">IF(MONTH((GridStart+34))=SelMonth,(GridStart+34),"")</f>
        <v>46537</v>
      </c>
    </row>
    <row r="22" customFormat="false" ht="15" hidden="false" customHeight="true" outlineLevel="0" collapsed="false">
      <c r="A22" s="30" t="s">
        <v>5</v>
      </c>
      <c r="B22" s="31" t="str">
        <f aca="false">IF(B21="","",IFERROR(INDEX(Příspěvky!$D$5:$D$204,MATCH(B21,Příspěvky!$A$5:$A$204,0)),""))</f>
        <v>Komunita a zákulisí</v>
      </c>
      <c r="C22" s="31" t="str">
        <f aca="false">IF(C21="","",IFERROR(INDEX(Příspěvky!$D$5:$D$204,MATCH(C21,Příspěvky!$A$5:$A$204,0)),""))</f>
        <v>Vzdělávací obsah</v>
      </c>
      <c r="D22" s="31" t="str">
        <f aca="false">IF(D21="","",IFERROR(INDEX(Příspěvky!$D$5:$D$204,MATCH(D21,Příspěvky!$A$5:$A$204,0)),""))</f>
        <v>Vzdělávací obsah</v>
      </c>
      <c r="E22" s="31" t="str">
        <f aca="false">IF(E21="","",IFERROR(INDEX(Příspěvky!$D$5:$D$204,MATCH(E21,Příspěvky!$A$5:$A$204,0)),""))</f>
        <v>Případové studie</v>
      </c>
      <c r="F22" s="31" t="str">
        <f aca="false">IF(F21="","",IFERROR(INDEX(Příspěvky!$D$5:$D$204,MATCH(F21,Příspěvky!$A$5:$A$204,0)),""))</f>
        <v>Přímý prodej</v>
      </c>
      <c r="G22" s="32" t="str">
        <f aca="false">IF(G21="","",IFERROR(INDEX(Příspěvky!$D$5:$D$204,MATCH(G21,Příspěvky!$A$5:$A$204,0)),""))</f>
        <v/>
      </c>
      <c r="H22" s="32" t="str">
        <f aca="false">IF(H21="","",IFERROR(INDEX(Příspěvky!$D$5:$D$204,MATCH(H21,Příspěvky!$A$5:$A$204,0)),""))</f>
        <v/>
      </c>
    </row>
    <row r="23" customFormat="false" ht="43.5" hidden="false" customHeight="true" outlineLevel="0" collapsed="false">
      <c r="A23" s="30" t="s">
        <v>7</v>
      </c>
      <c r="B23" s="33" t="str">
        <f aca="false">IF(B21="","",IFERROR(INDEX(Příspěvky!$F$5:$F$204,MATCH(B21,Příspěvky!$A$5:$A$204,0)),""))</f>
        <v>Představujeme tým: kdo vám odpovídá</v>
      </c>
      <c r="C23" s="33" t="str">
        <f aca="false">IF(C21="","",IFERROR(INDEX(Příspěvky!$F$5:$F$204,MATCH(C21,Příspěvky!$A$5:$A$204,0)),""))</f>
        <v>Reklamace, nebo vrácení zboží?</v>
      </c>
      <c r="D23" s="33" t="str">
        <f aca="false">IF(D21="","",IFERROR(INDEX(Příspěvky!$F$5:$F$204,MATCH(D21,Příspěvky!$A$5:$A$204,0)),""))</f>
        <v>Tip týdne: potvrzení přijetí reklamace</v>
      </c>
      <c r="E23" s="33" t="str">
        <f aca="false">IF(E21="","",IFERROR(INDEX(Příspěvky!$F$5:$F$204,MATCH(E21,Příspěvky!$A$5:$A$204,0)),""))</f>
        <v>Klientka z e-shopu s kosmetikou: co jí pomohlo</v>
      </c>
      <c r="F23" s="33" t="str">
        <f aca="false">IF(F21="","",IFERROR(INDEX(Příspěvky!$F$5:$F$204,MATCH(F21,Příspěvky!$A$5:$A$204,0)),""))</f>
        <v>Workshop pro týmy zákaznické podpory</v>
      </c>
      <c r="G23" s="34" t="str">
        <f aca="false">IF(G21="","",IFERROR(INDEX(Příspěvky!$F$5:$F$204,MATCH(G21,Příspěvky!$A$5:$A$204,0)),""))</f>
        <v/>
      </c>
      <c r="H23" s="34" t="str">
        <f aca="false">IF(H21="","",IFERROR(INDEX(Příspěvky!$F$5:$F$204,MATCH(H21,Příspěvky!$A$5:$A$204,0)),""))</f>
        <v/>
      </c>
    </row>
    <row r="24" customFormat="false" ht="27.75" hidden="false" customHeight="true" outlineLevel="0" collapsed="false">
      <c r="A24" s="35" t="s">
        <v>152</v>
      </c>
      <c r="B24" s="36" t="str">
        <f aca="false">IF(B21="","",IFERROR(INDEX(Příspěvky!$E$5:$E$204,MATCH(B21,Příspěvky!$A$5:$A$204,0))&amp;" · "&amp;INDEX(Příspěvky!$C$5:$C$204,MATCH(B21,Příspěvky!$A$5:$A$204,0))&amp;IF(COUNTIF(Příspěvky!$A$5:$A$204,B21)&gt;1," (+"&amp;(COUNTIF(Příspěvky!$A$5:$A$204,B21)-1)&amp;")",""),""))</f>
        <v>Obrázek · Instagram</v>
      </c>
      <c r="C24" s="36" t="str">
        <f aca="false">IF(C21="","",IFERROR(INDEX(Příspěvky!$E$5:$E$204,MATCH(C21,Příspěvky!$A$5:$A$204,0))&amp;" · "&amp;INDEX(Příspěvky!$C$5:$C$204,MATCH(C21,Příspěvky!$A$5:$A$204,0))&amp;IF(COUNTIF(Příspěvky!$A$5:$A$204,C21)&gt;1," (+"&amp;(COUNTIF(Příspěvky!$A$5:$A$204,C21)-1)&amp;")",""),""))</f>
        <v>Karusel · Facebook Page</v>
      </c>
      <c r="D24" s="36" t="str">
        <f aca="false">IF(D21="","",IFERROR(INDEX(Příspěvky!$E$5:$E$204,MATCH(D21,Příspěvky!$A$5:$A$204,0))&amp;" · "&amp;INDEX(Příspěvky!$C$5:$C$204,MATCH(D21,Příspěvky!$A$5:$A$204,0))&amp;IF(COUNTIF(Příspěvky!$A$5:$A$204,D21)&gt;1," (+"&amp;(COUNTIF(Příspěvky!$A$5:$A$204,D21)-1)&amp;")",""),""))</f>
        <v>Text · Threads</v>
      </c>
      <c r="E24" s="36" t="str">
        <f aca="false">IF(E21="","",IFERROR(INDEX(Příspěvky!$E$5:$E$204,MATCH(E21,Příspěvky!$A$5:$A$204,0))&amp;" · "&amp;INDEX(Příspěvky!$C$5:$C$204,MATCH(E21,Příspěvky!$A$5:$A$204,0))&amp;IF(COUNTIF(Příspěvky!$A$5:$A$204,E21)&gt;1," (+"&amp;(COUNTIF(Příspěvky!$A$5:$A$204,E21)-1)&amp;")",""),""))</f>
        <v>Krátké video · YouTube Shorts</v>
      </c>
      <c r="F24" s="36" t="str">
        <f aca="false">IF(F21="","",IFERROR(INDEX(Příspěvky!$E$5:$E$204,MATCH(F21,Příspěvky!$A$5:$A$204,0))&amp;" · "&amp;INDEX(Příspěvky!$C$5:$C$204,MATCH(F21,Příspěvky!$A$5:$A$204,0))&amp;IF(COUNTIF(Příspěvky!$A$5:$A$204,F21)&gt;1," (+"&amp;(COUNTIF(Příspěvky!$A$5:$A$204,F21)-1)&amp;")",""),""))</f>
        <v>Obrázek · LinkedIn</v>
      </c>
      <c r="G24" s="37" t="str">
        <f aca="false">IF(G21="","",IFERROR(INDEX(Příspěvky!$E$5:$E$204,MATCH(G21,Příspěvky!$A$5:$A$204,0))&amp;" · "&amp;INDEX(Příspěvky!$C$5:$C$204,MATCH(G21,Příspěvky!$A$5:$A$204,0))&amp;IF(COUNTIF(Příspěvky!$A$5:$A$204,G21)&gt;1," (+"&amp;(COUNTIF(Příspěvky!$A$5:$A$204,G21)-1)&amp;")",""),""))</f>
        <v/>
      </c>
      <c r="H24" s="37" t="str">
        <f aca="false">IF(H21="","",IFERROR(INDEX(Příspěvky!$E$5:$E$204,MATCH(H21,Příspěvky!$A$5:$A$204,0))&amp;" · "&amp;INDEX(Příspěvky!$C$5:$C$204,MATCH(H21,Příspěvky!$A$5:$A$204,0))&amp;IF(COUNTIF(Příspěvky!$A$5:$A$204,H21)&gt;1," (+"&amp;(COUNTIF(Příspěvky!$A$5:$A$204,H21)-1)&amp;")",""),""))</f>
        <v/>
      </c>
    </row>
    <row r="25" customFormat="false" ht="18" hidden="false" customHeight="true" outlineLevel="0" collapsed="false">
      <c r="A25" s="27" t="str">
        <f aca="false">IF(AND(MONTH((GridStart+35))&lt;&gt;SelMonth,MONTH((GridStart+35)+6)&lt;&gt;SelMonth),"","Týden "&amp;INT(((GridStart+35)+3-DATE(YEAR((GridStart+35)+3),1,1))/7)+1)</f>
        <v>Týden 22</v>
      </c>
      <c r="B25" s="28" t="n">
        <f aca="false">IF(MONTH((GridStart+35))=SelMonth,(GridStart+35),"")</f>
        <v>46538</v>
      </c>
      <c r="C25" s="28" t="str">
        <f aca="false">IF(MONTH((GridStart+36))=SelMonth,(GridStart+36),"")</f>
        <v/>
      </c>
      <c r="D25" s="28" t="str">
        <f aca="false">IF(MONTH((GridStart+37))=SelMonth,(GridStart+37),"")</f>
        <v/>
      </c>
      <c r="E25" s="28" t="str">
        <f aca="false">IF(MONTH((GridStart+38))=SelMonth,(GridStart+38),"")</f>
        <v/>
      </c>
      <c r="F25" s="28" t="str">
        <f aca="false">IF(MONTH((GridStart+39))=SelMonth,(GridStart+39),"")</f>
        <v/>
      </c>
      <c r="G25" s="29" t="str">
        <f aca="false">IF(MONTH((GridStart+40))=SelMonth,(GridStart+40),"")</f>
        <v/>
      </c>
      <c r="H25" s="29" t="str">
        <f aca="false">IF(MONTH((GridStart+41))=SelMonth,(GridStart+41),"")</f>
        <v/>
      </c>
    </row>
    <row r="26" customFormat="false" ht="15" hidden="false" customHeight="true" outlineLevel="0" collapsed="false">
      <c r="A26" s="30" t="s">
        <v>5</v>
      </c>
      <c r="B26" s="31" t="str">
        <f aca="false">IF(B25="","",IFERROR(INDEX(Příspěvky!$D$5:$D$204,MATCH(B25,Příspěvky!$A$5:$A$204,0)),""))</f>
        <v>Vzdělávací obsah</v>
      </c>
      <c r="C26" s="31" t="str">
        <f aca="false">IF(C25="","",IFERROR(INDEX(Příspěvky!$D$5:$D$204,MATCH(C25,Příspěvky!$A$5:$A$204,0)),""))</f>
        <v/>
      </c>
      <c r="D26" s="31" t="str">
        <f aca="false">IF(D25="","",IFERROR(INDEX(Příspěvky!$D$5:$D$204,MATCH(D25,Příspěvky!$A$5:$A$204,0)),""))</f>
        <v/>
      </c>
      <c r="E26" s="31" t="str">
        <f aca="false">IF(E25="","",IFERROR(INDEX(Příspěvky!$D$5:$D$204,MATCH(E25,Příspěvky!$A$5:$A$204,0)),""))</f>
        <v/>
      </c>
      <c r="F26" s="31" t="str">
        <f aca="false">IF(F25="","",IFERROR(INDEX(Příspěvky!$D$5:$D$204,MATCH(F25,Příspěvky!$A$5:$A$204,0)),""))</f>
        <v/>
      </c>
      <c r="G26" s="32" t="str">
        <f aca="false">IF(G25="","",IFERROR(INDEX(Příspěvky!$D$5:$D$204,MATCH(G25,Příspěvky!$A$5:$A$204,0)),""))</f>
        <v/>
      </c>
      <c r="H26" s="32" t="str">
        <f aca="false">IF(H25="","",IFERROR(INDEX(Příspěvky!$D$5:$D$204,MATCH(H25,Příspěvky!$A$5:$A$204,0)),""))</f>
        <v/>
      </c>
    </row>
    <row r="27" customFormat="false" ht="43.5" hidden="false" customHeight="true" outlineLevel="0" collapsed="false">
      <c r="A27" s="30" t="s">
        <v>7</v>
      </c>
      <c r="B27" s="33" t="str">
        <f aca="false">IF(B25="","",IFERROR(INDEX(Příspěvky!$F$5:$F$204,MATCH(B25,Příspěvky!$A$5:$A$204,0)),""))</f>
        <v>Kontrolní seznam: reklamace bez stresu</v>
      </c>
      <c r="C27" s="33" t="str">
        <f aca="false">IF(C25="","",IFERROR(INDEX(Příspěvky!$F$5:$F$204,MATCH(C25,Příspěvky!$A$5:$A$204,0)),""))</f>
        <v/>
      </c>
      <c r="D27" s="33" t="str">
        <f aca="false">IF(D25="","",IFERROR(INDEX(Příspěvky!$F$5:$F$204,MATCH(D25,Příspěvky!$A$5:$A$204,0)),""))</f>
        <v/>
      </c>
      <c r="E27" s="33" t="str">
        <f aca="false">IF(E25="","",IFERROR(INDEX(Příspěvky!$F$5:$F$204,MATCH(E25,Příspěvky!$A$5:$A$204,0)),""))</f>
        <v/>
      </c>
      <c r="F27" s="33" t="str">
        <f aca="false">IF(F25="","",IFERROR(INDEX(Příspěvky!$F$5:$F$204,MATCH(F25,Příspěvky!$A$5:$A$204,0)),""))</f>
        <v/>
      </c>
      <c r="G27" s="34" t="str">
        <f aca="false">IF(G25="","",IFERROR(INDEX(Příspěvky!$F$5:$F$204,MATCH(G25,Příspěvky!$A$5:$A$204,0)),""))</f>
        <v/>
      </c>
      <c r="H27" s="34" t="str">
        <f aca="false">IF(H25="","",IFERROR(INDEX(Příspěvky!$F$5:$F$204,MATCH(H25,Příspěvky!$A$5:$A$204,0)),""))</f>
        <v/>
      </c>
    </row>
    <row r="28" customFormat="false" ht="27.75" hidden="false" customHeight="true" outlineLevel="0" collapsed="false">
      <c r="A28" s="35" t="s">
        <v>152</v>
      </c>
      <c r="B28" s="36" t="str">
        <f aca="false">IF(B25="","",IFERROR(INDEX(Příspěvky!$E$5:$E$204,MATCH(B25,Příspěvky!$A$5:$A$204,0))&amp;" · "&amp;INDEX(Příspěvky!$C$5:$C$204,MATCH(B25,Příspěvky!$A$5:$A$204,0))&amp;IF(COUNTIF(Příspěvky!$A$5:$A$204,B25)&gt;1," (+"&amp;(COUNTIF(Příspěvky!$A$5:$A$204,B25)-1)&amp;")",""),""))</f>
        <v>Karusel · Instagram</v>
      </c>
      <c r="C28" s="36" t="str">
        <f aca="false">IF(C25="","",IFERROR(INDEX(Příspěvky!$E$5:$E$204,MATCH(C25,Příspěvky!$A$5:$A$204,0))&amp;" · "&amp;INDEX(Příspěvky!$C$5:$C$204,MATCH(C25,Příspěvky!$A$5:$A$204,0))&amp;IF(COUNTIF(Příspěvky!$A$5:$A$204,C25)&gt;1," (+"&amp;(COUNTIF(Příspěvky!$A$5:$A$204,C25)-1)&amp;")",""),""))</f>
        <v/>
      </c>
      <c r="D28" s="36" t="str">
        <f aca="false">IF(D25="","",IFERROR(INDEX(Příspěvky!$E$5:$E$204,MATCH(D25,Příspěvky!$A$5:$A$204,0))&amp;" · "&amp;INDEX(Příspěvky!$C$5:$C$204,MATCH(D25,Příspěvky!$A$5:$A$204,0))&amp;IF(COUNTIF(Příspěvky!$A$5:$A$204,D25)&gt;1," (+"&amp;(COUNTIF(Příspěvky!$A$5:$A$204,D25)-1)&amp;")",""),""))</f>
        <v/>
      </c>
      <c r="E28" s="36" t="str">
        <f aca="false">IF(E25="","",IFERROR(INDEX(Příspěvky!$E$5:$E$204,MATCH(E25,Příspěvky!$A$5:$A$204,0))&amp;" · "&amp;INDEX(Příspěvky!$C$5:$C$204,MATCH(E25,Příspěvky!$A$5:$A$204,0))&amp;IF(COUNTIF(Příspěvky!$A$5:$A$204,E25)&gt;1," (+"&amp;(COUNTIF(Příspěvky!$A$5:$A$204,E25)-1)&amp;")",""),""))</f>
        <v/>
      </c>
      <c r="F28" s="36" t="str">
        <f aca="false">IF(F25="","",IFERROR(INDEX(Příspěvky!$E$5:$E$204,MATCH(F25,Příspěvky!$A$5:$A$204,0))&amp;" · "&amp;INDEX(Příspěvky!$C$5:$C$204,MATCH(F25,Příspěvky!$A$5:$A$204,0))&amp;IF(COUNTIF(Příspěvky!$A$5:$A$204,F25)&gt;1," (+"&amp;(COUNTIF(Příspěvky!$A$5:$A$204,F25)-1)&amp;")",""),""))</f>
        <v/>
      </c>
      <c r="G28" s="37" t="str">
        <f aca="false">IF(G25="","",IFERROR(INDEX(Příspěvky!$E$5:$E$204,MATCH(G25,Příspěvky!$A$5:$A$204,0))&amp;" · "&amp;INDEX(Příspěvky!$C$5:$C$204,MATCH(G25,Příspěvky!$A$5:$A$204,0))&amp;IF(COUNTIF(Příspěvky!$A$5:$A$204,G25)&gt;1," (+"&amp;(COUNTIF(Příspěvky!$A$5:$A$204,G25)-1)&amp;")",""),""))</f>
        <v/>
      </c>
      <c r="H28" s="37" t="str">
        <f aca="false">IF(H25="","",IFERROR(INDEX(Příspěvky!$E$5:$E$204,MATCH(H25,Příspěvky!$A$5:$A$204,0))&amp;" · "&amp;INDEX(Příspěvky!$C$5:$C$204,MATCH(H25,Příspěvky!$A$5:$A$204,0))&amp;IF(COUNTIF(Příspěvky!$A$5:$A$204,H25)&gt;1," (+"&amp;(COUNTIF(Příspěvky!$A$5:$A$204,H25)-1)&amp;")",""),""))</f>
        <v/>
      </c>
    </row>
    <row r="30" customFormat="false" ht="15" hidden="false" customHeight="false" outlineLevel="0" collapsed="false">
      <c r="A30" s="8" t="s">
        <v>84</v>
      </c>
    </row>
  </sheetData>
  <sheetProtection sheet="true"/>
  <conditionalFormatting sqref="B5:H8">
    <cfRule type="expression" priority="2" aboveAverage="0" equalAverage="0" bottom="0" percent="0" rank="0" text="" dxfId="19">
      <formula>B$5=""</formula>
    </cfRule>
    <cfRule type="expression" priority="3" aboveAverage="0" equalAverage="0" bottom="0" percent="0" rank="0" text="" dxfId="11">
      <formula>AND(B$6&lt;&gt;"",B$6=INDEX(Pillars,1))</formula>
    </cfRule>
    <cfRule type="expression" priority="4" aboveAverage="0" equalAverage="0" bottom="0" percent="0" rank="0" text="" dxfId="12">
      <formula>AND(B$6&lt;&gt;"",B$6=INDEX(Pillars,2))</formula>
    </cfRule>
    <cfRule type="expression" priority="5" aboveAverage="0" equalAverage="0" bottom="0" percent="0" rank="0" text="" dxfId="13">
      <formula>AND(B$6&lt;&gt;"",B$6=INDEX(Pillars,3))</formula>
    </cfRule>
    <cfRule type="expression" priority="6" aboveAverage="0" equalAverage="0" bottom="0" percent="0" rank="0" text="" dxfId="14">
      <formula>AND(B$6&lt;&gt;"",B$6=INDEX(Pillars,4))</formula>
    </cfRule>
  </conditionalFormatting>
  <conditionalFormatting sqref="B9:H12">
    <cfRule type="expression" priority="7" aboveAverage="0" equalAverage="0" bottom="0" percent="0" rank="0" text="" dxfId="19">
      <formula>B$9=""</formula>
    </cfRule>
    <cfRule type="expression" priority="8" aboveAverage="0" equalAverage="0" bottom="0" percent="0" rank="0" text="" dxfId="11">
      <formula>AND(B$10&lt;&gt;"",B$10=INDEX(Pillars,1))</formula>
    </cfRule>
    <cfRule type="expression" priority="9" aboveAverage="0" equalAverage="0" bottom="0" percent="0" rank="0" text="" dxfId="12">
      <formula>AND(B$10&lt;&gt;"",B$10=INDEX(Pillars,2))</formula>
    </cfRule>
    <cfRule type="expression" priority="10" aboveAverage="0" equalAverage="0" bottom="0" percent="0" rank="0" text="" dxfId="13">
      <formula>AND(B$10&lt;&gt;"",B$10=INDEX(Pillars,3))</formula>
    </cfRule>
    <cfRule type="expression" priority="11" aboveAverage="0" equalAverage="0" bottom="0" percent="0" rank="0" text="" dxfId="14">
      <formula>AND(B$10&lt;&gt;"",B$10=INDEX(Pillars,4))</formula>
    </cfRule>
  </conditionalFormatting>
  <conditionalFormatting sqref="B13:H16">
    <cfRule type="expression" priority="12" aboveAverage="0" equalAverage="0" bottom="0" percent="0" rank="0" text="" dxfId="19">
      <formula>B$13=""</formula>
    </cfRule>
    <cfRule type="expression" priority="13" aboveAverage="0" equalAverage="0" bottom="0" percent="0" rank="0" text="" dxfId="11">
      <formula>AND(B$14&lt;&gt;"",B$14=INDEX(Pillars,1))</formula>
    </cfRule>
    <cfRule type="expression" priority="14" aboveAverage="0" equalAverage="0" bottom="0" percent="0" rank="0" text="" dxfId="12">
      <formula>AND(B$14&lt;&gt;"",B$14=INDEX(Pillars,2))</formula>
    </cfRule>
    <cfRule type="expression" priority="15" aboveAverage="0" equalAverage="0" bottom="0" percent="0" rank="0" text="" dxfId="13">
      <formula>AND(B$14&lt;&gt;"",B$14=INDEX(Pillars,3))</formula>
    </cfRule>
    <cfRule type="expression" priority="16" aboveAverage="0" equalAverage="0" bottom="0" percent="0" rank="0" text="" dxfId="14">
      <formula>AND(B$14&lt;&gt;"",B$14=INDEX(Pillars,4))</formula>
    </cfRule>
  </conditionalFormatting>
  <conditionalFormatting sqref="B17:H20">
    <cfRule type="expression" priority="17" aboveAverage="0" equalAverage="0" bottom="0" percent="0" rank="0" text="" dxfId="19">
      <formula>B$17=""</formula>
    </cfRule>
    <cfRule type="expression" priority="18" aboveAverage="0" equalAverage="0" bottom="0" percent="0" rank="0" text="" dxfId="11">
      <formula>AND(B$18&lt;&gt;"",B$18=INDEX(Pillars,1))</formula>
    </cfRule>
    <cfRule type="expression" priority="19" aboveAverage="0" equalAverage="0" bottom="0" percent="0" rank="0" text="" dxfId="12">
      <formula>AND(B$18&lt;&gt;"",B$18=INDEX(Pillars,2))</formula>
    </cfRule>
    <cfRule type="expression" priority="20" aboveAverage="0" equalAverage="0" bottom="0" percent="0" rank="0" text="" dxfId="13">
      <formula>AND(B$18&lt;&gt;"",B$18=INDEX(Pillars,3))</formula>
    </cfRule>
    <cfRule type="expression" priority="21" aboveAverage="0" equalAverage="0" bottom="0" percent="0" rank="0" text="" dxfId="14">
      <formula>AND(B$18&lt;&gt;"",B$18=INDEX(Pillars,4))</formula>
    </cfRule>
  </conditionalFormatting>
  <conditionalFormatting sqref="B21:H24">
    <cfRule type="expression" priority="22" aboveAverage="0" equalAverage="0" bottom="0" percent="0" rank="0" text="" dxfId="19">
      <formula>B$21=""</formula>
    </cfRule>
    <cfRule type="expression" priority="23" aboveAverage="0" equalAverage="0" bottom="0" percent="0" rank="0" text="" dxfId="11">
      <formula>AND(B$22&lt;&gt;"",B$22=INDEX(Pillars,1))</formula>
    </cfRule>
    <cfRule type="expression" priority="24" aboveAverage="0" equalAverage="0" bottom="0" percent="0" rank="0" text="" dxfId="12">
      <formula>AND(B$22&lt;&gt;"",B$22=INDEX(Pillars,2))</formula>
    </cfRule>
    <cfRule type="expression" priority="25" aboveAverage="0" equalAverage="0" bottom="0" percent="0" rank="0" text="" dxfId="13">
      <formula>AND(B$22&lt;&gt;"",B$22=INDEX(Pillars,3))</formula>
    </cfRule>
    <cfRule type="expression" priority="26" aboveAverage="0" equalAverage="0" bottom="0" percent="0" rank="0" text="" dxfId="14">
      <formula>AND(B$22&lt;&gt;"",B$22=INDEX(Pillars,4))</formula>
    </cfRule>
  </conditionalFormatting>
  <conditionalFormatting sqref="B25:H28">
    <cfRule type="expression" priority="27" aboveAverage="0" equalAverage="0" bottom="0" percent="0" rank="0" text="" dxfId="19">
      <formula>B$25=""</formula>
    </cfRule>
    <cfRule type="expression" priority="28" aboveAverage="0" equalAverage="0" bottom="0" percent="0" rank="0" text="" dxfId="11">
      <formula>AND(B$26&lt;&gt;"",B$26=INDEX(Pillars,1))</formula>
    </cfRule>
    <cfRule type="expression" priority="29" aboveAverage="0" equalAverage="0" bottom="0" percent="0" rank="0" text="" dxfId="12">
      <formula>AND(B$26&lt;&gt;"",B$26=INDEX(Pillars,2))</formula>
    </cfRule>
    <cfRule type="expression" priority="30" aboveAverage="0" equalAverage="0" bottom="0" percent="0" rank="0" text="" dxfId="13">
      <formula>AND(B$26&lt;&gt;"",B$26=INDEX(Pillars,3))</formula>
    </cfRule>
    <cfRule type="expression" priority="31" aboveAverage="0" equalAverage="0" bottom="0" percent="0" rank="0" text="" dxfId="14">
      <formula>AND(B$26&lt;&gt;"",B$26=INDEX(Pillars,4))</formula>
    </cfRule>
  </conditionalFormatting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1" t="str">
        <f aca="false">"Souhrn — "&amp;CHOOSE(SelMonth,"leden","únor","březen","duben","květen","červen","červenec","srpen","září","říjen","listopad","prosinec")&amp;" "&amp;SelYear</f>
        <v>Souhrn — květen 2027</v>
      </c>
    </row>
    <row r="2" customFormat="false" ht="15" hidden="false" customHeight="false" outlineLevel="0" collapsed="false">
      <c r="A2" s="8" t="s">
        <v>84</v>
      </c>
    </row>
    <row r="4" customFormat="false" ht="15" hidden="false" customHeight="false" outlineLevel="0" collapsed="false">
      <c r="B4" s="38" t="s">
        <v>153</v>
      </c>
    </row>
    <row r="5" customFormat="false" ht="15" hidden="false" customHeight="false" outlineLevel="0" collapsed="false">
      <c r="B5" s="3" t="s">
        <v>5</v>
      </c>
      <c r="C5" s="3" t="s">
        <v>154</v>
      </c>
      <c r="D5" s="3" t="s">
        <v>155</v>
      </c>
      <c r="E5" s="3" t="s">
        <v>156</v>
      </c>
      <c r="F5" s="3" t="s">
        <v>157</v>
      </c>
    </row>
    <row r="6" customFormat="false" ht="15" hidden="false" customHeight="false" outlineLevel="0" collapsed="false">
      <c r="B6" s="39" t="str">
        <f aca="false">Pilíře!B11</f>
        <v>Vzdělávací obsah</v>
      </c>
      <c r="C6" s="40" t="n">
        <f aca="false">Pilíře!C11</f>
        <v>0.4</v>
      </c>
      <c r="D6" s="41" t="n">
        <f aca="false">COUNTIFS(Příspěvky!$D$5:$D$204,B6,Příspěvky!$A$5:$A$204,"&gt;="&amp;MonthStart,Příspěvky!$A$5:$A$204,"&lt;="&amp;MonthEnd)</f>
        <v>9</v>
      </c>
      <c r="E6" s="40" t="n">
        <f aca="false">IF($D$10=0,"",D6/$D$10)</f>
        <v>0.45</v>
      </c>
      <c r="F6" s="42" t="n">
        <f aca="false">IF(E6="","",ROUND((E6-C6)*100,1))</f>
        <v>5</v>
      </c>
    </row>
    <row r="7" customFormat="false" ht="15" hidden="false" customHeight="false" outlineLevel="0" collapsed="false">
      <c r="B7" s="43" t="str">
        <f aca="false">Pilíře!B12</f>
        <v>Případové studie</v>
      </c>
      <c r="C7" s="40" t="n">
        <f aca="false">Pilíře!C12</f>
        <v>0.3</v>
      </c>
      <c r="D7" s="41" t="n">
        <f aca="false">COUNTIFS(Příspěvky!$D$5:$D$204,B7,Příspěvky!$A$5:$A$204,"&gt;="&amp;MonthStart,Příspěvky!$A$5:$A$204,"&lt;="&amp;MonthEnd)</f>
        <v>5</v>
      </c>
      <c r="E7" s="40" t="n">
        <f aca="false">IF($D$10=0,"",D7/$D$10)</f>
        <v>0.25</v>
      </c>
      <c r="F7" s="42" t="n">
        <f aca="false">IF(E7="","",ROUND((E7-C7)*100,1))</f>
        <v>-5</v>
      </c>
    </row>
    <row r="8" customFormat="false" ht="15" hidden="false" customHeight="false" outlineLevel="0" collapsed="false">
      <c r="B8" s="44" t="str">
        <f aca="false">Pilíře!B13</f>
        <v>Komunita a zákulisí</v>
      </c>
      <c r="C8" s="40" t="n">
        <f aca="false">Pilíře!C13</f>
        <v>0.2</v>
      </c>
      <c r="D8" s="41" t="n">
        <f aca="false">COUNTIFS(Příspěvky!$D$5:$D$204,B8,Příspěvky!$A$5:$A$204,"&gt;="&amp;MonthStart,Příspěvky!$A$5:$A$204,"&lt;="&amp;MonthEnd)</f>
        <v>3</v>
      </c>
      <c r="E8" s="40" t="n">
        <f aca="false">IF($D$10=0,"",D8/$D$10)</f>
        <v>0.15</v>
      </c>
      <c r="F8" s="42" t="n">
        <f aca="false">IF(E8="","",ROUND((E8-C8)*100,1))</f>
        <v>-5</v>
      </c>
    </row>
    <row r="9" customFormat="false" ht="15" hidden="false" customHeight="false" outlineLevel="0" collapsed="false">
      <c r="B9" s="45" t="str">
        <f aca="false">Pilíře!B14</f>
        <v>Přímý prodej</v>
      </c>
      <c r="C9" s="40" t="n">
        <f aca="false">Pilíře!C14</f>
        <v>0.1</v>
      </c>
      <c r="D9" s="41" t="n">
        <f aca="false">COUNTIFS(Příspěvky!$D$5:$D$204,B9,Příspěvky!$A$5:$A$204,"&gt;="&amp;MonthStart,Příspěvky!$A$5:$A$204,"&lt;="&amp;MonthEnd)</f>
        <v>3</v>
      </c>
      <c r="E9" s="40" t="n">
        <f aca="false">IF($D$10=0,"",D9/$D$10)</f>
        <v>0.15</v>
      </c>
      <c r="F9" s="42" t="n">
        <f aca="false">IF(E9="","",ROUND((E9-C9)*100,1))</f>
        <v>5</v>
      </c>
    </row>
    <row r="10" customFormat="false" ht="15" hidden="false" customHeight="false" outlineLevel="0" collapsed="false">
      <c r="B10" s="46" t="s">
        <v>118</v>
      </c>
      <c r="C10" s="18" t="n">
        <f aca="false">SUM(C6:C9)</f>
        <v>1</v>
      </c>
      <c r="D10" s="3" t="n">
        <f aca="false">SUM(D6:D9)</f>
        <v>20</v>
      </c>
      <c r="E10" s="18" t="n">
        <f aca="false">IF(D10=0,"",SUM(E6:E9))</f>
        <v>1</v>
      </c>
      <c r="F10" s="3"/>
    </row>
    <row r="12" customFormat="false" ht="15" hidden="false" customHeight="false" outlineLevel="0" collapsed="false">
      <c r="B12" s="38" t="s">
        <v>158</v>
      </c>
      <c r="D12" s="38" t="s">
        <v>159</v>
      </c>
    </row>
    <row r="13" customFormat="false" ht="15" hidden="false" customHeight="false" outlineLevel="0" collapsed="false">
      <c r="B13" s="3" t="s">
        <v>4</v>
      </c>
      <c r="C13" s="3" t="s">
        <v>155</v>
      </c>
      <c r="D13" s="3" t="s">
        <v>11</v>
      </c>
      <c r="E13" s="3" t="s">
        <v>155</v>
      </c>
    </row>
    <row r="14" customFormat="false" ht="15" hidden="false" customHeight="false" outlineLevel="0" collapsed="false">
      <c r="B14" s="47" t="str">
        <f aca="false">Pilíře!C19</f>
        <v>Facebook Page</v>
      </c>
      <c r="C14" s="41" t="n">
        <f aca="false">COUNTIFS(Příspěvky!$C$5:$C$204,B14,Příspěvky!$A$5:$A$204,"&gt;="&amp;MonthStart,Příspěvky!$A$5:$A$204,"&lt;="&amp;MonthEnd)</f>
        <v>4</v>
      </c>
      <c r="D14" s="19" t="str">
        <f aca="false">Pilíře!D19</f>
        <v>Nápad</v>
      </c>
      <c r="E14" s="41" t="n">
        <f aca="false">COUNTIFS(Příspěvky!$J$5:$J$204,D14,Příspěvky!$A$5:$A$204,"&gt;="&amp;MonthStart,Příspěvky!$A$5:$A$204,"&lt;="&amp;MonthEnd)</f>
        <v>9</v>
      </c>
    </row>
    <row r="15" customFormat="false" ht="15" hidden="false" customHeight="false" outlineLevel="0" collapsed="false">
      <c r="B15" s="47" t="str">
        <f aca="false">Pilíře!C20</f>
        <v>Instagram</v>
      </c>
      <c r="C15" s="41" t="n">
        <f aca="false">COUNTIFS(Příspěvky!$C$5:$C$204,B15,Příspěvky!$A$5:$A$204,"&gt;="&amp;MonthStart,Příspěvky!$A$5:$A$204,"&lt;="&amp;MonthEnd)</f>
        <v>5</v>
      </c>
      <c r="D15" s="48" t="str">
        <f aca="false">Pilíře!D20</f>
        <v>Rozpracováno</v>
      </c>
      <c r="E15" s="41" t="n">
        <f aca="false">COUNTIFS(Příspěvky!$J$5:$J$204,D15,Příspěvky!$A$5:$A$204,"&gt;="&amp;MonthStart,Příspěvky!$A$5:$A$204,"&lt;="&amp;MonthEnd)</f>
        <v>6</v>
      </c>
    </row>
    <row r="16" customFormat="false" ht="15" hidden="false" customHeight="false" outlineLevel="0" collapsed="false">
      <c r="B16" s="47" t="str">
        <f aca="false">Pilíře!C21</f>
        <v>LinkedIn</v>
      </c>
      <c r="C16" s="41" t="n">
        <f aca="false">COUNTIFS(Příspěvky!$C$5:$C$204,B16,Příspěvky!$A$5:$A$204,"&gt;="&amp;MonthStart,Příspěvky!$A$5:$A$204,"&lt;="&amp;MonthEnd)</f>
        <v>5</v>
      </c>
      <c r="D16" s="49" t="str">
        <f aca="false">Pilíře!D21</f>
        <v>Schváleno</v>
      </c>
      <c r="E16" s="41" t="n">
        <f aca="false">COUNTIFS(Příspěvky!$J$5:$J$204,D16,Příspěvky!$A$5:$A$204,"&gt;="&amp;MonthStart,Příspěvky!$A$5:$A$204,"&lt;="&amp;MonthEnd)</f>
        <v>4</v>
      </c>
    </row>
    <row r="17" customFormat="false" ht="15" hidden="false" customHeight="false" outlineLevel="0" collapsed="false">
      <c r="B17" s="47" t="str">
        <f aca="false">Pilíře!C22</f>
        <v>TikTok</v>
      </c>
      <c r="C17" s="41" t="n">
        <f aca="false">COUNTIFS(Příspěvky!$C$5:$C$204,B17,Příspěvky!$A$5:$A$204,"&gt;="&amp;MonthStart,Příspěvky!$A$5:$A$204,"&lt;="&amp;MonthEnd)</f>
        <v>2</v>
      </c>
      <c r="D17" s="50" t="str">
        <f aca="false">Pilíře!D22</f>
        <v>Naplánováno</v>
      </c>
      <c r="E17" s="41" t="n">
        <f aca="false">COUNTIFS(Příspěvky!$J$5:$J$204,D17,Příspěvky!$A$5:$A$204,"&gt;="&amp;MonthStart,Příspěvky!$A$5:$A$204,"&lt;="&amp;MonthEnd)</f>
        <v>1</v>
      </c>
    </row>
    <row r="18" customFormat="false" ht="15" hidden="false" customHeight="false" outlineLevel="0" collapsed="false">
      <c r="B18" s="47" t="str">
        <f aca="false">Pilíře!C23</f>
        <v>YouTube Shorts</v>
      </c>
      <c r="C18" s="41" t="n">
        <f aca="false">COUNTIFS(Příspěvky!$C$5:$C$204,B18,Příspěvky!$A$5:$A$204,"&gt;="&amp;MonthStart,Příspěvky!$A$5:$A$204,"&lt;="&amp;MonthEnd)</f>
        <v>2</v>
      </c>
    </row>
    <row r="19" customFormat="false" ht="15" hidden="false" customHeight="false" outlineLevel="0" collapsed="false">
      <c r="B19" s="47" t="str">
        <f aca="false">Pilíře!C24</f>
        <v>Threads</v>
      </c>
      <c r="C19" s="41" t="n">
        <f aca="false">COUNTIFS(Příspěvky!$C$5:$C$204,B19,Příspěvky!$A$5:$A$204,"&gt;="&amp;MonthStart,Příspěvky!$A$5:$A$204,"&lt;="&amp;MonthEnd)</f>
        <v>2</v>
      </c>
    </row>
    <row r="20" customFormat="false" ht="15" hidden="false" customHeight="false" outlineLevel="0" collapsed="false">
      <c r="B20" s="46" t="s">
        <v>118</v>
      </c>
      <c r="C20" s="3" t="n">
        <f aca="false">SUM(C14:C19)</f>
        <v>20</v>
      </c>
      <c r="D20" s="46" t="s">
        <v>118</v>
      </c>
      <c r="E20" s="3" t="n">
        <f aca="false">SUM(E14:E19)</f>
        <v>20</v>
      </c>
    </row>
    <row r="22" customFormat="false" ht="15" hidden="false" customHeight="false" outlineLevel="0" collapsed="false">
      <c r="B22" s="38" t="s">
        <v>160</v>
      </c>
    </row>
    <row r="23" customFormat="false" ht="15" hidden="false" customHeight="true" outlineLevel="0" collapsed="false">
      <c r="B23" s="3" t="s">
        <v>161</v>
      </c>
      <c r="C23" s="3" t="s">
        <v>162</v>
      </c>
      <c r="D23" s="3"/>
      <c r="E23" s="3" t="s">
        <v>163</v>
      </c>
      <c r="F23" s="3"/>
    </row>
    <row r="24" customFormat="false" ht="36" hidden="false" customHeight="true" outlineLevel="0" collapsed="false">
      <c r="B24" s="51" t="s">
        <v>164</v>
      </c>
      <c r="C24" s="52" t="s">
        <v>165</v>
      </c>
      <c r="D24" s="52"/>
      <c r="E24" s="52" t="s">
        <v>166</v>
      </c>
      <c r="F24" s="52"/>
    </row>
    <row r="25" customFormat="false" ht="36" hidden="false" customHeight="true" outlineLevel="0" collapsed="false">
      <c r="B25" s="51" t="s">
        <v>167</v>
      </c>
      <c r="C25" s="52" t="s">
        <v>168</v>
      </c>
      <c r="D25" s="52"/>
      <c r="E25" s="52" t="s">
        <v>169</v>
      </c>
      <c r="F25" s="52"/>
    </row>
    <row r="26" customFormat="false" ht="36" hidden="false" customHeight="true" outlineLevel="0" collapsed="false">
      <c r="B26" s="51" t="s">
        <v>170</v>
      </c>
      <c r="C26" s="52" t="s">
        <v>171</v>
      </c>
      <c r="D26" s="52"/>
      <c r="E26" s="52" t="s">
        <v>172</v>
      </c>
      <c r="F26" s="52"/>
    </row>
    <row r="27" customFormat="false" ht="36" hidden="false" customHeight="true" outlineLevel="0" collapsed="false">
      <c r="B27" s="51" t="s">
        <v>173</v>
      </c>
      <c r="C27" s="52" t="s">
        <v>174</v>
      </c>
      <c r="D27" s="52"/>
      <c r="E27" s="52" t="s">
        <v>175</v>
      </c>
      <c r="F27" s="52"/>
    </row>
    <row r="28" customFormat="false" ht="15" hidden="false" customHeight="false" outlineLevel="0" collapsed="false">
      <c r="B28" s="8" t="s">
        <v>176</v>
      </c>
    </row>
  </sheetData>
  <sheetProtection sheet="true"/>
  <mergeCells count="10"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2026-10-24T19:08:05Z</dcterms:created>
  <dc:creator>openpyxl</dc:creator>
  <dc:description/>
  <dc:language>vi-VN</dc:language>
  <cp:lastModifiedBy/>
  <dcterms:modified xsi:type="dcterms:W3CDTF">2026-10-24T19:08:05Z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