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Контент-план" sheetId="1" state="visible" r:id="rId3"/>
    <sheet name="Календар" sheetId="2" state="visible" r:id="rId4"/>
    <sheet name="Канали" sheetId="3" state="visible" r:id="rId5"/>
    <sheet name="Підсумок" sheetId="4" state="visible" r:id="rId6"/>
    <sheet name="Рубрики" sheetId="5" state="visible" r:id="rId7"/>
  </sheets>
  <definedNames>
    <definedName function="false" hidden="false" localSheetId="1" name="_xlnm.Print_Area" vbProcedure="false">Календар!$A$1:$H$30</definedName>
    <definedName function="false" hidden="false" localSheetId="2" name="_xlnm.Print_Area" vbProcedure="false">Канали!$A$1:$E$11</definedName>
    <definedName function="false" hidden="false" localSheetId="0" name="_xlnm.Print_Area" vbProcedure="false">'Контент-план'!$A$1:$H$26</definedName>
    <definedName function="false" hidden="false" localSheetId="3" name="_xlnm.Print_Area" vbProcedure="false">Підсумок!$A$1:$F$28</definedName>
    <definedName function="false" hidden="false" localSheetId="4" name="_xlnm.Print_Area" vbProcedure="false">Рубрики!$A$1:$E$26</definedName>
    <definedName function="false" hidden="false" name="Channels" vbProcedure="false">Канали!$A$5:$A$9</definedName>
    <definedName function="false" hidden="false" name="Formats" vbProcedure="false">Рубрики!$B$19:$B$22</definedName>
    <definedName function="false" hidden="false" name="GridStart" vbProcedure="false">Рубрики!$C$8</definedName>
    <definedName function="false" hidden="false" name="MonthEnd" vbProcedure="false">Рубрики!$C$7</definedName>
    <definedName function="false" hidden="false" name="MonthStart" vbProcedure="false">Рубрики!$C$6</definedName>
    <definedName function="false" hidden="false" name="Pillars" vbProcedure="false">Рубрики!$B$11:$B$14</definedName>
    <definedName function="false" hidden="false" name="PillarTargets" vbProcedure="false">Рубрики!$C$11:$C$14</definedName>
    <definedName function="false" hidden="false" name="SelMonth" vbProcedure="false">Рубрики!$C$4</definedName>
    <definedName function="false" hidden="false" name="SelYear" vbProcedure="false">Рубрики!$C$5</definedName>
    <definedName function="false" hidden="false" name="Statuses" vbProcedure="false">Рубрики!$D$19:$D$23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<sst xmlns="http://schemas.openxmlformats.org/spreadsheetml/2006/main" count="268" uniqueCount="148">
  <si>
    <t xml:space="preserve">Контент-план</t>
  </si>
  <si>
    <t xml:space="preserve">Один рядок — один допис. Канал, Рубрика, Формат і Статус мають спадні списки; Дату вводьте ДД.ММ.РРРР, Час — ГГ:ХХ. Якщо писати в рядку одразу під таблицею, вона розшириться сама.</t>
  </si>
  <si>
    <t xml:space="preserve">Дата</t>
  </si>
  <si>
    <t xml:space="preserve">Час</t>
  </si>
  <si>
    <t xml:space="preserve">Канал</t>
  </si>
  <si>
    <t xml:space="preserve">Рубрика</t>
  </si>
  <si>
    <t xml:space="preserve">Тема</t>
  </si>
  <si>
    <t xml:space="preserve">Формат</t>
  </si>
  <si>
    <t xml:space="preserve">Чернетка й медіа</t>
  </si>
  <si>
    <t xml:space="preserve">Статус</t>
  </si>
  <si>
    <t xml:space="preserve">Instagram</t>
  </si>
  <si>
    <t xml:space="preserve">Експертний</t>
  </si>
  <si>
    <t xml:space="preserve">5 помилок під час монтажу вентиляції</t>
  </si>
  <si>
    <t xml:space="preserve">Карусель</t>
  </si>
  <si>
    <t xml:space="preserve">посилання на папку</t>
  </si>
  <si>
    <t xml:space="preserve">На перевірці</t>
  </si>
  <si>
    <t xml:space="preserve">TikTok / Reels</t>
  </si>
  <si>
    <t xml:space="preserve">Головна помилка монтажу за 30 секунд</t>
  </si>
  <si>
    <t xml:space="preserve">Reels</t>
  </si>
  <si>
    <t xml:space="preserve">У роботі</t>
  </si>
  <si>
    <t xml:space="preserve">Telegram</t>
  </si>
  <si>
    <t xml:space="preserve">Залучення</t>
  </si>
  <si>
    <t xml:space="preserve">Опитування: що вас турбує у вентиляції</t>
  </si>
  <si>
    <t xml:space="preserve">Текст</t>
  </si>
  <si>
    <t xml:space="preserve">посилання на чернетку</t>
  </si>
  <si>
    <t xml:space="preserve">Ідея</t>
  </si>
  <si>
    <t xml:space="preserve">Facebook</t>
  </si>
  <si>
    <t xml:space="preserve">Довіра</t>
  </si>
  <si>
    <t xml:space="preserve">Кейс: офіс на 40 робочих місць</t>
  </si>
  <si>
    <t xml:space="preserve">Допис з фото</t>
  </si>
  <si>
    <t xml:space="preserve">Заплановано</t>
  </si>
  <si>
    <t xml:space="preserve">Як часто чистити вентиляцію в офісі</t>
  </si>
  <si>
    <t xml:space="preserve">папка 2026-11/05</t>
  </si>
  <si>
    <t xml:space="preserve">Один день монтажної бригади</t>
  </si>
  <si>
    <t xml:space="preserve">папка 2026-11/06</t>
  </si>
  <si>
    <t xml:space="preserve">Чекліст: 5 ознак, що вентиляція не справляється</t>
  </si>
  <si>
    <t xml:space="preserve">чернетка 2026-11/07</t>
  </si>
  <si>
    <t xml:space="preserve">LinkedIn</t>
  </si>
  <si>
    <t xml:space="preserve">Кейс: вентиляція для коворкінгу — від заміру до запуску</t>
  </si>
  <si>
    <t xml:space="preserve">чернетка 2026-11/08</t>
  </si>
  <si>
    <t xml:space="preserve">Продажі</t>
  </si>
  <si>
    <t xml:space="preserve">Безкоштовний виїзд інженера на замір у листопаді</t>
  </si>
  <si>
    <t xml:space="preserve">папка 2026-11/09</t>
  </si>
  <si>
    <t xml:space="preserve">Рекуператор чи кондиціонер: у чому різниця</t>
  </si>
  <si>
    <t xml:space="preserve">папка 2026-11/10</t>
  </si>
  <si>
    <t xml:space="preserve">Вгадайте, скільки пилу збирає фільтр за пів року</t>
  </si>
  <si>
    <t xml:space="preserve">папка 2026-11/11</t>
  </si>
  <si>
    <t xml:space="preserve">Що перевірити перед прийманням робіт</t>
  </si>
  <si>
    <t xml:space="preserve">чернетка 2026-11/12</t>
  </si>
  <si>
    <t xml:space="preserve">Відгук директора школи після заміни вентиляції</t>
  </si>
  <si>
    <t xml:space="preserve">папка 2026-11/13</t>
  </si>
  <si>
    <t xml:space="preserve">Пакет «Сервіс на рік»: що входить</t>
  </si>
  <si>
    <t xml:space="preserve">папка 2026-11/14</t>
  </si>
  <si>
    <t xml:space="preserve">Шум від вентиляції: 3 причини і що з ними робити</t>
  </si>
  <si>
    <t xml:space="preserve">папка 2026-11/15</t>
  </si>
  <si>
    <t xml:space="preserve">Як виглядає правильний монтаж повітроводу</t>
  </si>
  <si>
    <t xml:space="preserve">папка 2026-11/16</t>
  </si>
  <si>
    <t xml:space="preserve">Питання тижня: яку тему розібрати наступною?</t>
  </si>
  <si>
    <t xml:space="preserve">чернетка 2026-11/17</t>
  </si>
  <si>
    <t xml:space="preserve">З чого почати проєкт вентиляції для нового офісу</t>
  </si>
  <si>
    <t xml:space="preserve">чернетка 2026-11/18</t>
  </si>
  <si>
    <t xml:space="preserve">Запис на сезонне обслуговування до кінця року</t>
  </si>
  <si>
    <t xml:space="preserve">папка 2026-11/19</t>
  </si>
  <si>
    <t xml:space="preserve">Ваші запитання про вентиляцію: відповідаємо в коментарях</t>
  </si>
  <si>
    <t xml:space="preserve">папка 2026-11/20</t>
  </si>
  <si>
    <t xml:space="preserve">Гіпотетичний приклад — orova.vn</t>
  </si>
  <si>
    <t xml:space="preserve">Заповнюється автоматично з аркуша Контент-план (перший допис дня; (+1) — того дня є ще дописи). Місяць і рік змінюйте на аркуші Рубрики.</t>
  </si>
  <si>
    <t xml:space="preserve">Рубрики:</t>
  </si>
  <si>
    <t xml:space="preserve">Тиждень</t>
  </si>
  <si>
    <t xml:space="preserve">Понеділок</t>
  </si>
  <si>
    <t xml:space="preserve">Вівторок</t>
  </si>
  <si>
    <t xml:space="preserve">Середа</t>
  </si>
  <si>
    <t xml:space="preserve">Четвер</t>
  </si>
  <si>
    <t xml:space="preserve">П’ятниця</t>
  </si>
  <si>
    <t xml:space="preserve">Субота</t>
  </si>
  <si>
    <t xml:space="preserve">Неділя</t>
  </si>
  <si>
    <t xml:space="preserve">Формат · канал</t>
  </si>
  <si>
    <t xml:space="preserve">Матриця адаптації за каналами</t>
  </si>
  <si>
    <t xml:space="preserve">Одна ідея — п’ять подач (Крок 3). Стовпець Канал — джерело спадного списку на аркуші Контент-план: перейменуйте канал тут, і список оновиться.</t>
  </si>
  <si>
    <t xml:space="preserve">Орієнтація кадру</t>
  </si>
  <si>
    <t xml:space="preserve">Як подати тезу</t>
  </si>
  <si>
    <t xml:space="preserve">Формат CTA</t>
  </si>
  <si>
    <t xml:space="preserve">Навчальна карусель</t>
  </si>
  <si>
    <t xml:space="preserve">Вертикальна або квадратна</t>
  </si>
  <si>
    <t xml:space="preserve">Одна теза — один слайд, великий заголовок</t>
  </si>
  <si>
    <t xml:space="preserve">«Збережіть собі або напишіть у Direct»</t>
  </si>
  <si>
    <t xml:space="preserve">Експертний допис з 1-2 фото</t>
  </si>
  <si>
    <t xml:space="preserve">Горизонтальна або квадратна</t>
  </si>
  <si>
    <t xml:space="preserve">Розгорнутий текст з абзацами</t>
  </si>
  <si>
    <t xml:space="preserve">Посилання на статтю чи лід-магніт</t>
  </si>
  <si>
    <t xml:space="preserve">Коротке вертикальне відео</t>
  </si>
  <si>
    <t xml:space="preserve">Вертикальна</t>
  </si>
  <si>
    <t xml:space="preserve">Одна помилка — одна сцена, розмовна мова</t>
  </si>
  <si>
    <t xml:space="preserve">«Інструкція — за лінком у профілі»</t>
  </si>
  <si>
    <t xml:space="preserve">Стислий чекліст</t>
  </si>
  <si>
    <t xml:space="preserve">Без фото або горизонтальна</t>
  </si>
  <si>
    <t xml:space="preserve">Пункти, головне — жирним</t>
  </si>
  <si>
    <t xml:space="preserve">Кнопка або посилання на сайт</t>
  </si>
  <si>
    <t xml:space="preserve">Професійний кейс</t>
  </si>
  <si>
    <t xml:space="preserve">Документ PDF або текст</t>
  </si>
  <si>
    <t xml:space="preserve">Діловий тон, висновок наприкінці</t>
  </si>
  <si>
    <t xml:space="preserve">Запитання до читачів у коментарях</t>
  </si>
  <si>
    <t xml:space="preserve">Рубрики (дописи обраного місяця)</t>
  </si>
  <si>
    <t xml:space="preserve">Цільова частка</t>
  </si>
  <si>
    <t xml:space="preserve">Дописів</t>
  </si>
  <si>
    <t xml:space="preserve">Фактична частка</t>
  </si>
  <si>
    <t xml:space="preserve">Відхилення (п. п.)</t>
  </si>
  <si>
    <t xml:space="preserve">Разом</t>
  </si>
  <si>
    <t xml:space="preserve">За каналами</t>
  </si>
  <si>
    <t xml:space="preserve">За статусами</t>
  </si>
  <si>
    <t xml:space="preserve">Як виміряти ефективність після впровадження</t>
  </si>
  <si>
    <t xml:space="preserve">Метрика</t>
  </si>
  <si>
    <t xml:space="preserve">Що показує</t>
  </si>
  <si>
    <t xml:space="preserve">Де і як виміряти</t>
  </si>
  <si>
    <t xml:space="preserve">Коефіцієнт залучення (ER)</t>
  </si>
  <si>
    <t xml:space="preserve">Частку охопленої аудиторії, яка відреагувала, прокоментувала чи зберегла допис</t>
  </si>
  <si>
    <t xml:space="preserve">Вбудована статистика платформи; порівнюйте рубрики між собою, а не з чужими сторінками</t>
  </si>
  <si>
    <t xml:space="preserve">Збереження та репости</t>
  </si>
  <si>
    <t xml:space="preserve">Чи має допис практичну цінність для читача</t>
  </si>
  <si>
    <t xml:space="preserve">Статистика окремого допису в Meta Business Suite чи TikTok</t>
  </si>
  <si>
    <t xml:space="preserve">Переходи за посиланнями</t>
  </si>
  <si>
    <t xml:space="preserve">Чи веде контент людей на сайт</t>
  </si>
  <si>
    <t xml:space="preserve">Веб-аналітика з UTM-мітками в посиланнях</t>
  </si>
  <si>
    <t xml:space="preserve">Звернення (ліди)</t>
  </si>
  <si>
    <t xml:space="preserve">Чи дає контент заявки</t>
  </si>
  <si>
    <t xml:space="preserve">CRM або форма заявки з позначкою джерела</t>
  </si>
  <si>
    <t xml:space="preserve">Вартість звернення (CPL)</t>
  </si>
  <si>
    <t xml:space="preserve">Скільки коштує одна заявка</t>
  </si>
  <si>
    <t xml:space="preserve">Витрати на виробництво контенту, поділені на кількість заявок</t>
  </si>
  <si>
    <t xml:space="preserve">Висновки — після кількох тижнів ведення графіка; рубрику зі стабільно нижчим ER перегляньте.</t>
  </si>
  <si>
    <t xml:space="preserve">Рубрики</t>
  </si>
  <si>
    <t xml:space="preserve">Тут оберіть місяць і рік: аркуші Календар і Підсумок оновляться самі. Жовті клітинки можна змінювати.</t>
  </si>
  <si>
    <t xml:space="preserve">Місяць</t>
  </si>
  <si>
    <t xml:space="preserve">Рік</t>
  </si>
  <si>
    <t xml:space="preserve">Перший день місяця</t>
  </si>
  <si>
    <t xml:space="preserve">Останній день місяця</t>
  </si>
  <si>
    <t xml:space="preserve">Календар починається (понеділок)</t>
  </si>
  <si>
    <t xml:space="preserve">Частка</t>
  </si>
  <si>
    <t xml:space="preserve">Колір</t>
  </si>
  <si>
    <t xml:space="preserve">Приклад теми</t>
  </si>
  <si>
    <t xml:space="preserve">Синій</t>
  </si>
  <si>
    <t xml:space="preserve">Зелений</t>
  </si>
  <si>
    <t xml:space="preserve">Помаранчевий</t>
  </si>
  <si>
    <t xml:space="preserve">Фіолетовий</t>
  </si>
  <si>
    <t xml:space="preserve">Безкоштовний виїзд інженера на замір</t>
  </si>
  <si>
    <t xml:space="preserve">Частки 40 / 25 / 20 / 15 % — гіпотетичний приклад. Підберіть власні за статистикою своїх сторінок (разом має бути 100 %).</t>
  </si>
  <si>
    <t xml:space="preserve">Опубліковано</t>
  </si>
  <si>
    <t xml:space="preserve">Списки живлять спадні меню на аркуші Контент-план. Канали редагуйте на аркуші Канали — тут вони підтягуються формулою.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</si>
</sst>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22]dd/mm/yyyy"/>
    <numFmt numFmtId="166" formatCode="hh:mm"/>
    <numFmt numFmtId="167" formatCode="d"/>
    <numFmt numFmtId="168" formatCode="0%"/>
    <numFmt numFmtId="169" formatCode="[$-422]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b val="true"/>
      <sz val="12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  <fill>
      <patternFill patternType="solid">
        <fgColor rgb="FFFFF8DC"/>
        <bgColor rgb="FFFFF2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0" fillId="1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8" type="wholeTable"/>
      <tableStyleElement dxfId="19" type="firstColumnStripe"/>
      <tableStyleElement dxfId="20" type="firstRowStripe"/>
      <tableStyleElement dxfId="21" type="lastColumn"/>
      <tableStyleElement dxfId="22" type="firstColumn"/>
      <tableStyleElement dxfId="23" type="headerRow"/>
      <tableStyleElement dxfId="24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H24" headerRowCount="1" totalsRowCount="0" totalsRowShown="0">
  <autoFilter ref="A4:H24"/>
  <tableColumns count="8">
    <tableColumn id="1" name="Дата"/>
    <tableColumn id="2" name="Час"/>
    <tableColumn id="3" name="Канал"/>
    <tableColumn id="4" name="Рубрика"/>
    <tableColumn id="5" name="Тема"/>
    <tableColumn id="6" name="Формат"/>
    <tableColumn id="7" name="Чернетка й медіа"/>
    <tableColumn id="8" name="Статус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46"/>
    <col collapsed="false" customWidth="true" hidden="false" outlineLevel="0" max="6" min="6" style="0" width="14"/>
    <col collapsed="false" customWidth="true" hidden="false" outlineLevel="0" max="7" min="7" style="0" width="22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30" hidden="false" customHeight="true" outlineLevel="0" collapsed="false">
      <c r="A5" s="4" t="n">
        <v>46328</v>
      </c>
      <c r="B5" s="5" t="n">
        <v>0.416666666666667</v>
      </c>
      <c r="C5" s="6" t="s">
        <v>10</v>
      </c>
      <c r="D5" s="6" t="s">
        <v>11</v>
      </c>
      <c r="E5" s="7" t="s">
        <v>12</v>
      </c>
      <c r="F5" s="6" t="s">
        <v>13</v>
      </c>
      <c r="G5" s="6" t="s">
        <v>14</v>
      </c>
      <c r="H5" s="6" t="s">
        <v>15</v>
      </c>
    </row>
    <row r="6" customFormat="false" ht="30" hidden="false" customHeight="true" outlineLevel="0" collapsed="false">
      <c r="A6" s="4" t="n">
        <v>46329</v>
      </c>
      <c r="B6" s="5" t="n">
        <v>0.770833333333333</v>
      </c>
      <c r="C6" s="6" t="s">
        <v>16</v>
      </c>
      <c r="D6" s="6" t="s">
        <v>11</v>
      </c>
      <c r="E6" s="7" t="s">
        <v>17</v>
      </c>
      <c r="F6" s="6" t="s">
        <v>18</v>
      </c>
      <c r="G6" s="6" t="s">
        <v>14</v>
      </c>
      <c r="H6" s="6" t="s">
        <v>19</v>
      </c>
    </row>
    <row r="7" customFormat="false" ht="30" hidden="false" customHeight="true" outlineLevel="0" collapsed="false">
      <c r="A7" s="4" t="n">
        <v>46330</v>
      </c>
      <c r="B7" s="5" t="n">
        <v>0.375</v>
      </c>
      <c r="C7" s="6" t="s">
        <v>20</v>
      </c>
      <c r="D7" s="6" t="s">
        <v>21</v>
      </c>
      <c r="E7" s="7" t="s">
        <v>22</v>
      </c>
      <c r="F7" s="6" t="s">
        <v>23</v>
      </c>
      <c r="G7" s="6" t="s">
        <v>24</v>
      </c>
      <c r="H7" s="6" t="s">
        <v>25</v>
      </c>
    </row>
    <row r="8" customFormat="false" ht="30" hidden="false" customHeight="true" outlineLevel="0" collapsed="false">
      <c r="A8" s="4" t="n">
        <v>46332</v>
      </c>
      <c r="B8" s="5" t="n">
        <v>0.5</v>
      </c>
      <c r="C8" s="6" t="s">
        <v>26</v>
      </c>
      <c r="D8" s="6" t="s">
        <v>27</v>
      </c>
      <c r="E8" s="7" t="s">
        <v>28</v>
      </c>
      <c r="F8" s="6" t="s">
        <v>29</v>
      </c>
      <c r="G8" s="6" t="s">
        <v>14</v>
      </c>
      <c r="H8" s="6" t="s">
        <v>30</v>
      </c>
    </row>
    <row r="9" customFormat="false" ht="30" hidden="false" customHeight="true" outlineLevel="0" collapsed="false">
      <c r="A9" s="4" t="n">
        <v>46335</v>
      </c>
      <c r="B9" s="5" t="n">
        <v>0.416666666666667</v>
      </c>
      <c r="C9" s="6" t="s">
        <v>10</v>
      </c>
      <c r="D9" s="6" t="s">
        <v>11</v>
      </c>
      <c r="E9" s="7" t="s">
        <v>31</v>
      </c>
      <c r="F9" s="6" t="s">
        <v>13</v>
      </c>
      <c r="G9" s="6" t="s">
        <v>32</v>
      </c>
      <c r="H9" s="6" t="s">
        <v>15</v>
      </c>
    </row>
    <row r="10" customFormat="false" ht="30" hidden="false" customHeight="true" outlineLevel="0" collapsed="false">
      <c r="A10" s="4" t="n">
        <v>46336</v>
      </c>
      <c r="B10" s="5" t="n">
        <v>0.770833333333333</v>
      </c>
      <c r="C10" s="6" t="s">
        <v>16</v>
      </c>
      <c r="D10" s="6" t="s">
        <v>27</v>
      </c>
      <c r="E10" s="7" t="s">
        <v>33</v>
      </c>
      <c r="F10" s="6" t="s">
        <v>18</v>
      </c>
      <c r="G10" s="6" t="s">
        <v>34</v>
      </c>
      <c r="H10" s="6" t="s">
        <v>19</v>
      </c>
    </row>
    <row r="11" customFormat="false" ht="30" hidden="false" customHeight="true" outlineLevel="0" collapsed="false">
      <c r="A11" s="4" t="n">
        <v>46337</v>
      </c>
      <c r="B11" s="5" t="n">
        <v>0.375</v>
      </c>
      <c r="C11" s="6" t="s">
        <v>20</v>
      </c>
      <c r="D11" s="6" t="s">
        <v>11</v>
      </c>
      <c r="E11" s="7" t="s">
        <v>35</v>
      </c>
      <c r="F11" s="6" t="s">
        <v>23</v>
      </c>
      <c r="G11" s="6" t="s">
        <v>36</v>
      </c>
      <c r="H11" s="6" t="s">
        <v>19</v>
      </c>
    </row>
    <row r="12" customFormat="false" ht="30" hidden="false" customHeight="true" outlineLevel="0" collapsed="false">
      <c r="A12" s="4" t="n">
        <v>46338</v>
      </c>
      <c r="B12" s="5" t="n">
        <v>0.5</v>
      </c>
      <c r="C12" s="6" t="s">
        <v>37</v>
      </c>
      <c r="D12" s="6" t="s">
        <v>27</v>
      </c>
      <c r="E12" s="7" t="s">
        <v>38</v>
      </c>
      <c r="F12" s="6" t="s">
        <v>23</v>
      </c>
      <c r="G12" s="6" t="s">
        <v>39</v>
      </c>
      <c r="H12" s="6" t="s">
        <v>25</v>
      </c>
    </row>
    <row r="13" customFormat="false" ht="30" hidden="false" customHeight="true" outlineLevel="0" collapsed="false">
      <c r="A13" s="4" t="n">
        <v>46339</v>
      </c>
      <c r="B13" s="5" t="n">
        <v>0.5</v>
      </c>
      <c r="C13" s="6" t="s">
        <v>26</v>
      </c>
      <c r="D13" s="6" t="s">
        <v>40</v>
      </c>
      <c r="E13" s="7" t="s">
        <v>41</v>
      </c>
      <c r="F13" s="6" t="s">
        <v>29</v>
      </c>
      <c r="G13" s="6" t="s">
        <v>42</v>
      </c>
      <c r="H13" s="6" t="s">
        <v>30</v>
      </c>
    </row>
    <row r="14" customFormat="false" ht="30" hidden="false" customHeight="true" outlineLevel="0" collapsed="false">
      <c r="A14" s="4" t="n">
        <v>46342</v>
      </c>
      <c r="B14" s="5" t="n">
        <v>0.416666666666667</v>
      </c>
      <c r="C14" s="6" t="s">
        <v>10</v>
      </c>
      <c r="D14" s="6" t="s">
        <v>11</v>
      </c>
      <c r="E14" s="7" t="s">
        <v>43</v>
      </c>
      <c r="F14" s="6" t="s">
        <v>13</v>
      </c>
      <c r="G14" s="6" t="s">
        <v>44</v>
      </c>
      <c r="H14" s="6" t="s">
        <v>25</v>
      </c>
    </row>
    <row r="15" customFormat="false" ht="30" hidden="false" customHeight="true" outlineLevel="0" collapsed="false">
      <c r="A15" s="4" t="n">
        <v>46343</v>
      </c>
      <c r="B15" s="5" t="n">
        <v>0.770833333333333</v>
      </c>
      <c r="C15" s="6" t="s">
        <v>16</v>
      </c>
      <c r="D15" s="6" t="s">
        <v>21</v>
      </c>
      <c r="E15" s="7" t="s">
        <v>45</v>
      </c>
      <c r="F15" s="6" t="s">
        <v>18</v>
      </c>
      <c r="G15" s="6" t="s">
        <v>46</v>
      </c>
      <c r="H15" s="6" t="s">
        <v>25</v>
      </c>
    </row>
    <row r="16" customFormat="false" ht="30" hidden="false" customHeight="true" outlineLevel="0" collapsed="false">
      <c r="A16" s="4" t="n">
        <v>46344</v>
      </c>
      <c r="B16" s="5" t="n">
        <v>0.375</v>
      </c>
      <c r="C16" s="6" t="s">
        <v>20</v>
      </c>
      <c r="D16" s="6" t="s">
        <v>11</v>
      </c>
      <c r="E16" s="7" t="s">
        <v>47</v>
      </c>
      <c r="F16" s="6" t="s">
        <v>23</v>
      </c>
      <c r="G16" s="6" t="s">
        <v>48</v>
      </c>
      <c r="H16" s="6" t="s">
        <v>25</v>
      </c>
    </row>
    <row r="17" customFormat="false" ht="30" hidden="false" customHeight="true" outlineLevel="0" collapsed="false">
      <c r="A17" s="4" t="n">
        <v>46345</v>
      </c>
      <c r="B17" s="5" t="n">
        <v>0.5</v>
      </c>
      <c r="C17" s="6" t="s">
        <v>26</v>
      </c>
      <c r="D17" s="6" t="s">
        <v>27</v>
      </c>
      <c r="E17" s="7" t="s">
        <v>49</v>
      </c>
      <c r="F17" s="6" t="s">
        <v>29</v>
      </c>
      <c r="G17" s="6" t="s">
        <v>50</v>
      </c>
      <c r="H17" s="6" t="s">
        <v>19</v>
      </c>
    </row>
    <row r="18" customFormat="false" ht="30" hidden="false" customHeight="true" outlineLevel="0" collapsed="false">
      <c r="A18" s="4" t="n">
        <v>46346</v>
      </c>
      <c r="B18" s="5" t="n">
        <v>0.5</v>
      </c>
      <c r="C18" s="6" t="s">
        <v>10</v>
      </c>
      <c r="D18" s="6" t="s">
        <v>40</v>
      </c>
      <c r="E18" s="7" t="s">
        <v>51</v>
      </c>
      <c r="F18" s="6" t="s">
        <v>13</v>
      </c>
      <c r="G18" s="6" t="s">
        <v>52</v>
      </c>
      <c r="H18" s="6" t="s">
        <v>25</v>
      </c>
    </row>
    <row r="19" customFormat="false" ht="30" hidden="false" customHeight="true" outlineLevel="0" collapsed="false">
      <c r="A19" s="4" t="n">
        <v>46349</v>
      </c>
      <c r="B19" s="5" t="n">
        <v>0.416666666666667</v>
      </c>
      <c r="C19" s="6" t="s">
        <v>10</v>
      </c>
      <c r="D19" s="6" t="s">
        <v>11</v>
      </c>
      <c r="E19" s="7" t="s">
        <v>53</v>
      </c>
      <c r="F19" s="6" t="s">
        <v>13</v>
      </c>
      <c r="G19" s="6" t="s">
        <v>54</v>
      </c>
      <c r="H19" s="6" t="s">
        <v>25</v>
      </c>
    </row>
    <row r="20" customFormat="false" ht="30" hidden="false" customHeight="true" outlineLevel="0" collapsed="false">
      <c r="A20" s="4" t="n">
        <v>46350</v>
      </c>
      <c r="B20" s="5" t="n">
        <v>0.770833333333333</v>
      </c>
      <c r="C20" s="6" t="s">
        <v>16</v>
      </c>
      <c r="D20" s="6" t="s">
        <v>11</v>
      </c>
      <c r="E20" s="7" t="s">
        <v>55</v>
      </c>
      <c r="F20" s="6" t="s">
        <v>18</v>
      </c>
      <c r="G20" s="6" t="s">
        <v>56</v>
      </c>
      <c r="H20" s="6" t="s">
        <v>25</v>
      </c>
    </row>
    <row r="21" customFormat="false" ht="30" hidden="false" customHeight="true" outlineLevel="0" collapsed="false">
      <c r="A21" s="4" t="n">
        <v>46351</v>
      </c>
      <c r="B21" s="5" t="n">
        <v>0.375</v>
      </c>
      <c r="C21" s="6" t="s">
        <v>20</v>
      </c>
      <c r="D21" s="6" t="s">
        <v>21</v>
      </c>
      <c r="E21" s="7" t="s">
        <v>57</v>
      </c>
      <c r="F21" s="6" t="s">
        <v>23</v>
      </c>
      <c r="G21" s="6" t="s">
        <v>58</v>
      </c>
      <c r="H21" s="6" t="s">
        <v>25</v>
      </c>
    </row>
    <row r="22" customFormat="false" ht="30" hidden="false" customHeight="true" outlineLevel="0" collapsed="false">
      <c r="A22" s="4" t="n">
        <v>46352</v>
      </c>
      <c r="B22" s="5" t="n">
        <v>0.5</v>
      </c>
      <c r="C22" s="6" t="s">
        <v>37</v>
      </c>
      <c r="D22" s="6" t="s">
        <v>11</v>
      </c>
      <c r="E22" s="7" t="s">
        <v>59</v>
      </c>
      <c r="F22" s="6" t="s">
        <v>23</v>
      </c>
      <c r="G22" s="6" t="s">
        <v>60</v>
      </c>
      <c r="H22" s="6" t="s">
        <v>25</v>
      </c>
    </row>
    <row r="23" customFormat="false" ht="30" hidden="false" customHeight="true" outlineLevel="0" collapsed="false">
      <c r="A23" s="4" t="n">
        <v>46353</v>
      </c>
      <c r="B23" s="5" t="n">
        <v>0.5</v>
      </c>
      <c r="C23" s="6" t="s">
        <v>26</v>
      </c>
      <c r="D23" s="6" t="s">
        <v>40</v>
      </c>
      <c r="E23" s="7" t="s">
        <v>61</v>
      </c>
      <c r="F23" s="6" t="s">
        <v>29</v>
      </c>
      <c r="G23" s="6" t="s">
        <v>62</v>
      </c>
      <c r="H23" s="6" t="s">
        <v>25</v>
      </c>
    </row>
    <row r="24" customFormat="false" ht="30" hidden="false" customHeight="true" outlineLevel="0" collapsed="false">
      <c r="A24" s="4" t="n">
        <v>46356</v>
      </c>
      <c r="B24" s="5" t="n">
        <v>0.416666666666667</v>
      </c>
      <c r="C24" s="6" t="s">
        <v>10</v>
      </c>
      <c r="D24" s="6" t="s">
        <v>21</v>
      </c>
      <c r="E24" s="7" t="s">
        <v>63</v>
      </c>
      <c r="F24" s="6" t="s">
        <v>29</v>
      </c>
      <c r="G24" s="6" t="s">
        <v>64</v>
      </c>
      <c r="H24" s="6" t="s">
        <v>25</v>
      </c>
    </row>
    <row r="26" customFormat="false" ht="15" hidden="false" customHeight="false" outlineLevel="0" collapsed="false">
      <c r="A26" s="8" t="s">
        <v>65</v>
      </c>
    </row>
  </sheetData>
  <conditionalFormatting sqref="D5:D204">
    <cfRule type="expression" priority="2" aboveAverage="0" equalAverage="0" bottom="0" percent="0" rank="0" text="" dxfId="9">
      <formula>AND(D5&lt;&gt;"",D5=INDEX(Pillars,1))</formula>
    </cfRule>
    <cfRule type="expression" priority="3" aboveAverage="0" equalAverage="0" bottom="0" percent="0" rank="0" text="" dxfId="10">
      <formula>AND(D5&lt;&gt;"",D5=INDEX(Pillars,2))</formula>
    </cfRule>
    <cfRule type="expression" priority="4" aboveAverage="0" equalAverage="0" bottom="0" percent="0" rank="0" text="" dxfId="11">
      <formula>AND(D5&lt;&gt;"",D5=INDEX(Pillars,3))</formula>
    </cfRule>
    <cfRule type="expression" priority="5" aboveAverage="0" equalAverage="0" bottom="0" percent="0" rank="0" text="" dxfId="12">
      <formula>AND(D5&lt;&gt;"",D5=INDEX(Pillars,4))</formula>
    </cfRule>
  </conditionalFormatting>
  <conditionalFormatting sqref="H5:H204">
    <cfRule type="expression" priority="6" aboveAverage="0" equalAverage="0" bottom="0" percent="0" rank="0" text="" dxfId="13">
      <formula>AND(H5&lt;&gt;"",H5=INDEX(Statuses,1))</formula>
    </cfRule>
    <cfRule type="expression" priority="7" aboveAverage="0" equalAverage="0" bottom="0" percent="0" rank="0" text="" dxfId="14">
      <formula>AND(H5&lt;&gt;"",H5=INDEX(Statuses,2))</formula>
    </cfRule>
    <cfRule type="expression" priority="8" aboveAverage="0" equalAverage="0" bottom="0" percent="0" rank="0" text="" dxfId="15">
      <formula>AND(H5&lt;&gt;"",H5=INDEX(Statuses,3))</formula>
    </cfRule>
    <cfRule type="expression" priority="9" aboveAverage="0" equalAverage="0" bottom="0" percent="0" rank="0" text="" dxfId="10">
      <formula>AND(H5&lt;&gt;"",H5=INDEX(Statuses,4))</formula>
    </cfRule>
    <cfRule type="expression" priority="10" aboveAverage="0" equalAverage="0" bottom="0" percent="0" rank="0" text="" dxfId="16">
      <formula>AND(H5&lt;&gt;"",H5=INDEX(Statuses,5))</formula>
    </cfRule>
  </conditionalFormatting>
  <dataValidations count="6">
    <dataValidation allowBlank="true" errorStyle="stop" operator="between" showDropDown="false" showErrorMessage="false" showInputMessage="false" sqref="C5:C204" type="list">
      <formula1>Channels</formula1>
      <formula2>0</formula2>
    </dataValidation>
    <dataValidation allowBlank="true" errorStyle="stop" operator="between" showDropDown="false" showErrorMessage="false" showInputMessage="false" sqref="D5:D204" type="list">
      <formula1>Pillars</formula1>
      <formula2>0</formula2>
    </dataValidation>
    <dataValidation allowBlank="true" errorStyle="stop" operator="between" showDropDown="false" showErrorMessage="false" showInputMessage="false" sqref="F5:F204" type="list">
      <formula1>Formats</formula1>
      <formula2>0</formula2>
    </dataValidation>
    <dataValidation allowBlank="true" errorStyle="stop" operator="between" showDropDown="false" showErrorMessage="false" showInputMessage="false" sqref="H5:H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  <dataValidation allowBlank="true" errorStyle="stop" operator="between" showDropDown="false" showErrorMessage="false" showInputMessage="false" sqref="B5:B204" type="time">
      <formula1>0</formula1>
      <formula2>0.999305556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"Календар — "&amp;CHOOSE(SelMonth,"січень","лютий","березень","квітень","травень","червень","липень","серпень","вересень","жовтень","листопад","грудень")&amp;" "&amp;SelYear</f>
        <v>Календар — листопад 2026</v>
      </c>
    </row>
    <row r="2" customFormat="false" ht="15" hidden="false" customHeight="false" outlineLevel="0" collapsed="false">
      <c r="A2" s="2" t="s">
        <v>66</v>
      </c>
    </row>
    <row r="3" customFormat="false" ht="15" hidden="false" customHeight="false" outlineLevel="0" collapsed="false">
      <c r="A3" s="9" t="s">
        <v>67</v>
      </c>
      <c r="B3" s="10" t="str">
        <f aca="false">INDEX(Pillars,1)</f>
        <v>Експертний</v>
      </c>
      <c r="C3" s="11" t="str">
        <f aca="false">INDEX(Pillars,2)</f>
        <v>Довіра</v>
      </c>
      <c r="D3" s="12" t="str">
        <f aca="false">INDEX(Pillars,3)</f>
        <v>Залучення</v>
      </c>
      <c r="E3" s="13" t="str">
        <f aca="false">INDEX(Pillars,4)</f>
        <v>Продажі</v>
      </c>
    </row>
    <row r="4" customFormat="false" ht="15" hidden="false" customHeight="false" outlineLevel="0" collapsed="false">
      <c r="A4" s="3" t="s">
        <v>68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73</v>
      </c>
      <c r="G4" s="14" t="s">
        <v>74</v>
      </c>
      <c r="H4" s="14" t="s">
        <v>75</v>
      </c>
    </row>
    <row r="5" customFormat="false" ht="18" hidden="false" customHeight="true" outlineLevel="0" collapsed="false">
      <c r="A5" s="15" t="str">
        <f aca="false">IF(AND(MONTH((GridStart+0))&lt;&gt;SelMonth,MONTH((GridStart+0)+6)&lt;&gt;SelMonth),"","Тиждень "&amp;INT(((GridStart+0)+3-DATE(YEAR((GridStart+0)+3),1,1))/7)+1)</f>
        <v>Тиждень 44</v>
      </c>
      <c r="B5" s="16" t="str">
        <f aca="false">IF(MONTH((GridStart+0))=SelMonth,(GridStart+0),"")</f>
        <v/>
      </c>
      <c r="C5" s="16" t="str">
        <f aca="false">IF(MONTH((GridStart+1))=SelMonth,(GridStart+1),"")</f>
        <v/>
      </c>
      <c r="D5" s="16" t="str">
        <f aca="false">IF(MONTH((GridStart+2))=SelMonth,(GridStart+2),"")</f>
        <v/>
      </c>
      <c r="E5" s="16" t="str">
        <f aca="false">IF(MONTH((GridStart+3))=SelMonth,(GridStart+3),"")</f>
        <v/>
      </c>
      <c r="F5" s="16" t="str">
        <f aca="false">IF(MONTH((GridStart+4))=SelMonth,(GridStart+4),"")</f>
        <v/>
      </c>
      <c r="G5" s="17" t="str">
        <f aca="false">IF(MONTH((GridStart+5))=SelMonth,(GridStart+5),"")</f>
        <v/>
      </c>
      <c r="H5" s="17" t="n">
        <f aca="false">IF(MONTH((GridStart+6))=SelMonth,(GridStart+6),"")</f>
        <v>46327</v>
      </c>
    </row>
    <row r="6" customFormat="false" ht="15" hidden="false" customHeight="true" outlineLevel="0" collapsed="false">
      <c r="A6" s="18" t="s">
        <v>5</v>
      </c>
      <c r="B6" s="19" t="str">
        <f aca="false">IF(B5="","",IFERROR(INDEX('Контент-план'!$D$5:$D$204,MATCH(B5,'Контент-план'!$A$5:$A$204,0)),""))</f>
        <v/>
      </c>
      <c r="C6" s="19" t="str">
        <f aca="false">IF(C5="","",IFERROR(INDEX('Контент-план'!$D$5:$D$204,MATCH(C5,'Контент-план'!$A$5:$A$204,0)),""))</f>
        <v/>
      </c>
      <c r="D6" s="19" t="str">
        <f aca="false">IF(D5="","",IFERROR(INDEX('Контент-план'!$D$5:$D$204,MATCH(D5,'Контент-план'!$A$5:$A$204,0)),""))</f>
        <v/>
      </c>
      <c r="E6" s="19" t="str">
        <f aca="false">IF(E5="","",IFERROR(INDEX('Контент-план'!$D$5:$D$204,MATCH(E5,'Контент-план'!$A$5:$A$204,0)),""))</f>
        <v/>
      </c>
      <c r="F6" s="19" t="str">
        <f aca="false">IF(F5="","",IFERROR(INDEX('Контент-план'!$D$5:$D$204,MATCH(F5,'Контент-план'!$A$5:$A$204,0)),""))</f>
        <v/>
      </c>
      <c r="G6" s="20" t="str">
        <f aca="false">IF(G5="","",IFERROR(INDEX('Контент-план'!$D$5:$D$204,MATCH(G5,'Контент-план'!$A$5:$A$204,0)),""))</f>
        <v/>
      </c>
      <c r="H6" s="20" t="str">
        <f aca="false">IF(H5="","",IFERROR(INDEX('Контент-план'!$D$5:$D$204,MATCH(H5,'Контент-план'!$A$5:$A$204,0)),""))</f>
        <v/>
      </c>
    </row>
    <row r="7" customFormat="false" ht="43.5" hidden="false" customHeight="true" outlineLevel="0" collapsed="false">
      <c r="A7" s="18" t="s">
        <v>6</v>
      </c>
      <c r="B7" s="21" t="str">
        <f aca="false">IF(B5="","",IFERROR(INDEX('Контент-план'!$E$5:$E$204,MATCH(B5,'Контент-план'!$A$5:$A$204,0)),""))</f>
        <v/>
      </c>
      <c r="C7" s="21" t="str">
        <f aca="false">IF(C5="","",IFERROR(INDEX('Контент-план'!$E$5:$E$204,MATCH(C5,'Контент-план'!$A$5:$A$204,0)),""))</f>
        <v/>
      </c>
      <c r="D7" s="21" t="str">
        <f aca="false">IF(D5="","",IFERROR(INDEX('Контент-план'!$E$5:$E$204,MATCH(D5,'Контент-план'!$A$5:$A$204,0)),""))</f>
        <v/>
      </c>
      <c r="E7" s="21" t="str">
        <f aca="false">IF(E5="","",IFERROR(INDEX('Контент-план'!$E$5:$E$204,MATCH(E5,'Контент-план'!$A$5:$A$204,0)),""))</f>
        <v/>
      </c>
      <c r="F7" s="21" t="str">
        <f aca="false">IF(F5="","",IFERROR(INDEX('Контент-план'!$E$5:$E$204,MATCH(F5,'Контент-план'!$A$5:$A$204,0)),""))</f>
        <v/>
      </c>
      <c r="G7" s="22" t="str">
        <f aca="false">IF(G5="","",IFERROR(INDEX('Контент-план'!$E$5:$E$204,MATCH(G5,'Контент-план'!$A$5:$A$204,0)),""))</f>
        <v/>
      </c>
      <c r="H7" s="22" t="str">
        <f aca="false">IF(H5="","",IFERROR(INDEX('Контент-план'!$E$5:$E$204,MATCH(H5,'Контент-план'!$A$5:$A$204,0)),""))</f>
        <v/>
      </c>
    </row>
    <row r="8" customFormat="false" ht="27.75" hidden="false" customHeight="true" outlineLevel="0" collapsed="false">
      <c r="A8" s="23" t="s">
        <v>76</v>
      </c>
      <c r="B8" s="24" t="str">
        <f aca="false">IF(B5="","",IFERROR(INDEX('Контент-план'!$F$5:$F$204,MATCH(B5,'Контент-план'!$A$5:$A$204,0))&amp;" · "&amp;INDEX('Контент-план'!$C$5:$C$204,MATCH(B5,'Контент-план'!$A$5:$A$204,0))&amp;IF(COUNTIF('Контент-план'!$A$5:$A$204,B5)&gt;1," (+"&amp;(COUNTIF('Контент-план'!$A$5:$A$204,B5)-1)&amp;")",""),""))</f>
        <v/>
      </c>
      <c r="C8" s="24" t="str">
        <f aca="false">IF(C5="","",IFERROR(INDEX('Контент-план'!$F$5:$F$204,MATCH(C5,'Контент-план'!$A$5:$A$204,0))&amp;" · "&amp;INDEX('Контент-план'!$C$5:$C$204,MATCH(C5,'Контент-план'!$A$5:$A$204,0))&amp;IF(COUNTIF('Контент-план'!$A$5:$A$204,C5)&gt;1," (+"&amp;(COUNTIF('Контент-план'!$A$5:$A$204,C5)-1)&amp;")",""),""))</f>
        <v/>
      </c>
      <c r="D8" s="24" t="str">
        <f aca="false">IF(D5="","",IFERROR(INDEX('Контент-план'!$F$5:$F$204,MATCH(D5,'Контент-план'!$A$5:$A$204,0))&amp;" · "&amp;INDEX('Контент-план'!$C$5:$C$204,MATCH(D5,'Контент-план'!$A$5:$A$204,0))&amp;IF(COUNTIF('Контент-план'!$A$5:$A$204,D5)&gt;1," (+"&amp;(COUNTIF('Контент-план'!$A$5:$A$204,D5)-1)&amp;")",""),""))</f>
        <v/>
      </c>
      <c r="E8" s="24" t="str">
        <f aca="false">IF(E5="","",IFERROR(INDEX('Контент-план'!$F$5:$F$204,MATCH(E5,'Контент-план'!$A$5:$A$204,0))&amp;" · "&amp;INDEX('Контент-план'!$C$5:$C$204,MATCH(E5,'Контент-план'!$A$5:$A$204,0))&amp;IF(COUNTIF('Контент-план'!$A$5:$A$204,E5)&gt;1," (+"&amp;(COUNTIF('Контент-план'!$A$5:$A$204,E5)-1)&amp;")",""),""))</f>
        <v/>
      </c>
      <c r="F8" s="24" t="str">
        <f aca="false">IF(F5="","",IFERROR(INDEX('Контент-план'!$F$5:$F$204,MATCH(F5,'Контент-план'!$A$5:$A$204,0))&amp;" · "&amp;INDEX('Контент-план'!$C$5:$C$204,MATCH(F5,'Контент-план'!$A$5:$A$204,0))&amp;IF(COUNTIF('Контент-план'!$A$5:$A$204,F5)&gt;1," (+"&amp;(COUNTIF('Контент-план'!$A$5:$A$204,F5)-1)&amp;")",""),""))</f>
        <v/>
      </c>
      <c r="G8" s="25" t="str">
        <f aca="false">IF(G5="","",IFERROR(INDEX('Контент-план'!$F$5:$F$204,MATCH(G5,'Контент-план'!$A$5:$A$204,0))&amp;" · "&amp;INDEX('Контент-план'!$C$5:$C$204,MATCH(G5,'Контент-план'!$A$5:$A$204,0))&amp;IF(COUNTIF('Контент-план'!$A$5:$A$204,G5)&gt;1," (+"&amp;(COUNTIF('Контент-план'!$A$5:$A$204,G5)-1)&amp;")",""),""))</f>
        <v/>
      </c>
      <c r="H8" s="25" t="str">
        <f aca="false">IF(H5="","",IFERROR(INDEX('Контент-план'!$F$5:$F$204,MATCH(H5,'Контент-план'!$A$5:$A$204,0))&amp;" · "&amp;INDEX('Контент-план'!$C$5:$C$204,MATCH(H5,'Контент-план'!$A$5:$A$204,0))&amp;IF(COUNTIF('Контент-план'!$A$5:$A$204,H5)&gt;1," (+"&amp;(COUNTIF('Контент-план'!$A$5:$A$204,H5)-1)&amp;")",""),""))</f>
        <v/>
      </c>
    </row>
    <row r="9" customFormat="false" ht="18" hidden="false" customHeight="true" outlineLevel="0" collapsed="false">
      <c r="A9" s="15" t="str">
        <f aca="false">IF(AND(MONTH((GridStart+7))&lt;&gt;SelMonth,MONTH((GridStart+7)+6)&lt;&gt;SelMonth),"","Тиждень "&amp;INT(((GridStart+7)+3-DATE(YEAR((GridStart+7)+3),1,1))/7)+1)</f>
        <v>Тиждень 45</v>
      </c>
      <c r="B9" s="16" t="n">
        <f aca="false">IF(MONTH((GridStart+7))=SelMonth,(GridStart+7),"")</f>
        <v>46328</v>
      </c>
      <c r="C9" s="16" t="n">
        <f aca="false">IF(MONTH((GridStart+8))=SelMonth,(GridStart+8),"")</f>
        <v>46329</v>
      </c>
      <c r="D9" s="16" t="n">
        <f aca="false">IF(MONTH((GridStart+9))=SelMonth,(GridStart+9),"")</f>
        <v>46330</v>
      </c>
      <c r="E9" s="16" t="n">
        <f aca="false">IF(MONTH((GridStart+10))=SelMonth,(GridStart+10),"")</f>
        <v>46331</v>
      </c>
      <c r="F9" s="16" t="n">
        <f aca="false">IF(MONTH((GridStart+11))=SelMonth,(GridStart+11),"")</f>
        <v>46332</v>
      </c>
      <c r="G9" s="17" t="n">
        <f aca="false">IF(MONTH((GridStart+12))=SelMonth,(GridStart+12),"")</f>
        <v>46333</v>
      </c>
      <c r="H9" s="17" t="n">
        <f aca="false">IF(MONTH((GridStart+13))=SelMonth,(GridStart+13),"")</f>
        <v>46334</v>
      </c>
    </row>
    <row r="10" customFormat="false" ht="15" hidden="false" customHeight="true" outlineLevel="0" collapsed="false">
      <c r="A10" s="18" t="s">
        <v>5</v>
      </c>
      <c r="B10" s="19" t="str">
        <f aca="false">IF(B9="","",IFERROR(INDEX('Контент-план'!$D$5:$D$204,MATCH(B9,'Контент-план'!$A$5:$A$204,0)),""))</f>
        <v>Експертний</v>
      </c>
      <c r="C10" s="19" t="str">
        <f aca="false">IF(C9="","",IFERROR(INDEX('Контент-план'!$D$5:$D$204,MATCH(C9,'Контент-план'!$A$5:$A$204,0)),""))</f>
        <v>Експертний</v>
      </c>
      <c r="D10" s="19" t="str">
        <f aca="false">IF(D9="","",IFERROR(INDEX('Контент-план'!$D$5:$D$204,MATCH(D9,'Контент-план'!$A$5:$A$204,0)),""))</f>
        <v>Залучення</v>
      </c>
      <c r="E10" s="19" t="str">
        <f aca="false">IF(E9="","",IFERROR(INDEX('Контент-план'!$D$5:$D$204,MATCH(E9,'Контент-план'!$A$5:$A$204,0)),""))</f>
        <v/>
      </c>
      <c r="F10" s="19" t="str">
        <f aca="false">IF(F9="","",IFERROR(INDEX('Контент-план'!$D$5:$D$204,MATCH(F9,'Контент-план'!$A$5:$A$204,0)),""))</f>
        <v>Довіра</v>
      </c>
      <c r="G10" s="20" t="str">
        <f aca="false">IF(G9="","",IFERROR(INDEX('Контент-план'!$D$5:$D$204,MATCH(G9,'Контент-план'!$A$5:$A$204,0)),""))</f>
        <v/>
      </c>
      <c r="H10" s="20" t="str">
        <f aca="false">IF(H9="","",IFERROR(INDEX('Контент-план'!$D$5:$D$204,MATCH(H9,'Контент-план'!$A$5:$A$204,0)),""))</f>
        <v/>
      </c>
    </row>
    <row r="11" customFormat="false" ht="43.5" hidden="false" customHeight="true" outlineLevel="0" collapsed="false">
      <c r="A11" s="18" t="s">
        <v>6</v>
      </c>
      <c r="B11" s="21" t="str">
        <f aca="false">IF(B9="","",IFERROR(INDEX('Контент-план'!$E$5:$E$204,MATCH(B9,'Контент-план'!$A$5:$A$204,0)),""))</f>
        <v>5 помилок під час монтажу вентиляції</v>
      </c>
      <c r="C11" s="21" t="str">
        <f aca="false">IF(C9="","",IFERROR(INDEX('Контент-план'!$E$5:$E$204,MATCH(C9,'Контент-план'!$A$5:$A$204,0)),""))</f>
        <v>Головна помилка монтажу за 30 секунд</v>
      </c>
      <c r="D11" s="21" t="str">
        <f aca="false">IF(D9="","",IFERROR(INDEX('Контент-план'!$E$5:$E$204,MATCH(D9,'Контент-план'!$A$5:$A$204,0)),""))</f>
        <v>Опитування: що вас турбує у вентиляції</v>
      </c>
      <c r="E11" s="21" t="str">
        <f aca="false">IF(E9="","",IFERROR(INDEX('Контент-план'!$E$5:$E$204,MATCH(E9,'Контент-план'!$A$5:$A$204,0)),""))</f>
        <v/>
      </c>
      <c r="F11" s="21" t="str">
        <f aca="false">IF(F9="","",IFERROR(INDEX('Контент-план'!$E$5:$E$204,MATCH(F9,'Контент-план'!$A$5:$A$204,0)),""))</f>
        <v>Кейс: офіс на 40 робочих місць</v>
      </c>
      <c r="G11" s="22" t="str">
        <f aca="false">IF(G9="","",IFERROR(INDEX('Контент-план'!$E$5:$E$204,MATCH(G9,'Контент-план'!$A$5:$A$204,0)),""))</f>
        <v/>
      </c>
      <c r="H11" s="22" t="str">
        <f aca="false">IF(H9="","",IFERROR(INDEX('Контент-план'!$E$5:$E$204,MATCH(H9,'Контент-план'!$A$5:$A$204,0)),""))</f>
        <v/>
      </c>
    </row>
    <row r="12" customFormat="false" ht="27.75" hidden="false" customHeight="true" outlineLevel="0" collapsed="false">
      <c r="A12" s="23" t="s">
        <v>76</v>
      </c>
      <c r="B12" s="24" t="str">
        <f aca="false">IF(B9="","",IFERROR(INDEX('Контент-план'!$F$5:$F$204,MATCH(B9,'Контент-план'!$A$5:$A$204,0))&amp;" · "&amp;INDEX('Контент-план'!$C$5:$C$204,MATCH(B9,'Контент-план'!$A$5:$A$204,0))&amp;IF(COUNTIF('Контент-план'!$A$5:$A$204,B9)&gt;1," (+"&amp;(COUNTIF('Контент-план'!$A$5:$A$204,B9)-1)&amp;")",""),""))</f>
        <v>Карусель · Instagram</v>
      </c>
      <c r="C12" s="24" t="str">
        <f aca="false">IF(C9="","",IFERROR(INDEX('Контент-план'!$F$5:$F$204,MATCH(C9,'Контент-план'!$A$5:$A$204,0))&amp;" · "&amp;INDEX('Контент-план'!$C$5:$C$204,MATCH(C9,'Контент-план'!$A$5:$A$204,0))&amp;IF(COUNTIF('Контент-план'!$A$5:$A$204,C9)&gt;1," (+"&amp;(COUNTIF('Контент-план'!$A$5:$A$204,C9)-1)&amp;")",""),""))</f>
        <v>Reels · TikTok / Reels</v>
      </c>
      <c r="D12" s="24" t="str">
        <f aca="false">IF(D9="","",IFERROR(INDEX('Контент-план'!$F$5:$F$204,MATCH(D9,'Контент-план'!$A$5:$A$204,0))&amp;" · "&amp;INDEX('Контент-план'!$C$5:$C$204,MATCH(D9,'Контент-план'!$A$5:$A$204,0))&amp;IF(COUNTIF('Контент-план'!$A$5:$A$204,D9)&gt;1," (+"&amp;(COUNTIF('Контент-план'!$A$5:$A$204,D9)-1)&amp;")",""),""))</f>
        <v>Текст · Telegram</v>
      </c>
      <c r="E12" s="24" t="str">
        <f aca="false">IF(E9="","",IFERROR(INDEX('Контент-план'!$F$5:$F$204,MATCH(E9,'Контент-план'!$A$5:$A$204,0))&amp;" · "&amp;INDEX('Контент-план'!$C$5:$C$204,MATCH(E9,'Контент-план'!$A$5:$A$204,0))&amp;IF(COUNTIF('Контент-план'!$A$5:$A$204,E9)&gt;1," (+"&amp;(COUNTIF('Контент-план'!$A$5:$A$204,E9)-1)&amp;")",""),""))</f>
        <v/>
      </c>
      <c r="F12" s="24" t="str">
        <f aca="false">IF(F9="","",IFERROR(INDEX('Контент-план'!$F$5:$F$204,MATCH(F9,'Контент-план'!$A$5:$A$204,0))&amp;" · "&amp;INDEX('Контент-план'!$C$5:$C$204,MATCH(F9,'Контент-план'!$A$5:$A$204,0))&amp;IF(COUNTIF('Контент-план'!$A$5:$A$204,F9)&gt;1," (+"&amp;(COUNTIF('Контент-план'!$A$5:$A$204,F9)-1)&amp;")",""),""))</f>
        <v>Допис з фото · Facebook</v>
      </c>
      <c r="G12" s="25" t="str">
        <f aca="false">IF(G9="","",IFERROR(INDEX('Контент-план'!$F$5:$F$204,MATCH(G9,'Контент-план'!$A$5:$A$204,0))&amp;" · "&amp;INDEX('Контент-план'!$C$5:$C$204,MATCH(G9,'Контент-план'!$A$5:$A$204,0))&amp;IF(COUNTIF('Контент-план'!$A$5:$A$204,G9)&gt;1," (+"&amp;(COUNTIF('Контент-план'!$A$5:$A$204,G9)-1)&amp;")",""),""))</f>
        <v/>
      </c>
      <c r="H12" s="25" t="str">
        <f aca="false">IF(H9="","",IFERROR(INDEX('Контент-план'!$F$5:$F$204,MATCH(H9,'Контент-план'!$A$5:$A$204,0))&amp;" · "&amp;INDEX('Контент-план'!$C$5:$C$204,MATCH(H9,'Контент-план'!$A$5:$A$204,0))&amp;IF(COUNTIF('Контент-план'!$A$5:$A$204,H9)&gt;1," (+"&amp;(COUNTIF('Контент-план'!$A$5:$A$204,H9)-1)&amp;")",""),""))</f>
        <v/>
      </c>
    </row>
    <row r="13" customFormat="false" ht="18" hidden="false" customHeight="true" outlineLevel="0" collapsed="false">
      <c r="A13" s="15" t="str">
        <f aca="false">IF(AND(MONTH((GridStart+14))&lt;&gt;SelMonth,MONTH((GridStart+14)+6)&lt;&gt;SelMonth),"","Тиждень "&amp;INT(((GridStart+14)+3-DATE(YEAR((GridStart+14)+3),1,1))/7)+1)</f>
        <v>Тиждень 46</v>
      </c>
      <c r="B13" s="16" t="n">
        <f aca="false">IF(MONTH((GridStart+14))=SelMonth,(GridStart+14),"")</f>
        <v>46335</v>
      </c>
      <c r="C13" s="16" t="n">
        <f aca="false">IF(MONTH((GridStart+15))=SelMonth,(GridStart+15),"")</f>
        <v>46336</v>
      </c>
      <c r="D13" s="16" t="n">
        <f aca="false">IF(MONTH((GridStart+16))=SelMonth,(GridStart+16),"")</f>
        <v>46337</v>
      </c>
      <c r="E13" s="16" t="n">
        <f aca="false">IF(MONTH((GridStart+17))=SelMonth,(GridStart+17),"")</f>
        <v>46338</v>
      </c>
      <c r="F13" s="16" t="n">
        <f aca="false">IF(MONTH((GridStart+18))=SelMonth,(GridStart+18),"")</f>
        <v>46339</v>
      </c>
      <c r="G13" s="17" t="n">
        <f aca="false">IF(MONTH((GridStart+19))=SelMonth,(GridStart+19),"")</f>
        <v>46340</v>
      </c>
      <c r="H13" s="17" t="n">
        <f aca="false">IF(MONTH((GridStart+20))=SelMonth,(GridStart+20),"")</f>
        <v>46341</v>
      </c>
    </row>
    <row r="14" customFormat="false" ht="15" hidden="false" customHeight="true" outlineLevel="0" collapsed="false">
      <c r="A14" s="18" t="s">
        <v>5</v>
      </c>
      <c r="B14" s="19" t="str">
        <f aca="false">IF(B13="","",IFERROR(INDEX('Контент-план'!$D$5:$D$204,MATCH(B13,'Контент-план'!$A$5:$A$204,0)),""))</f>
        <v>Експертний</v>
      </c>
      <c r="C14" s="19" t="str">
        <f aca="false">IF(C13="","",IFERROR(INDEX('Контент-план'!$D$5:$D$204,MATCH(C13,'Контент-план'!$A$5:$A$204,0)),""))</f>
        <v>Довіра</v>
      </c>
      <c r="D14" s="19" t="str">
        <f aca="false">IF(D13="","",IFERROR(INDEX('Контент-план'!$D$5:$D$204,MATCH(D13,'Контент-план'!$A$5:$A$204,0)),""))</f>
        <v>Експертний</v>
      </c>
      <c r="E14" s="19" t="str">
        <f aca="false">IF(E13="","",IFERROR(INDEX('Контент-план'!$D$5:$D$204,MATCH(E13,'Контент-план'!$A$5:$A$204,0)),""))</f>
        <v>Довіра</v>
      </c>
      <c r="F14" s="19" t="str">
        <f aca="false">IF(F13="","",IFERROR(INDEX('Контент-план'!$D$5:$D$204,MATCH(F13,'Контент-план'!$A$5:$A$204,0)),""))</f>
        <v>Продажі</v>
      </c>
      <c r="G14" s="20" t="str">
        <f aca="false">IF(G13="","",IFERROR(INDEX('Контент-план'!$D$5:$D$204,MATCH(G13,'Контент-план'!$A$5:$A$204,0)),""))</f>
        <v/>
      </c>
      <c r="H14" s="20" t="str">
        <f aca="false">IF(H13="","",IFERROR(INDEX('Контент-план'!$D$5:$D$204,MATCH(H13,'Контент-план'!$A$5:$A$204,0)),""))</f>
        <v/>
      </c>
    </row>
    <row r="15" customFormat="false" ht="43.5" hidden="false" customHeight="true" outlineLevel="0" collapsed="false">
      <c r="A15" s="18" t="s">
        <v>6</v>
      </c>
      <c r="B15" s="21" t="str">
        <f aca="false">IF(B13="","",IFERROR(INDEX('Контент-план'!$E$5:$E$204,MATCH(B13,'Контент-план'!$A$5:$A$204,0)),""))</f>
        <v>Як часто чистити вентиляцію в офісі</v>
      </c>
      <c r="C15" s="21" t="str">
        <f aca="false">IF(C13="","",IFERROR(INDEX('Контент-план'!$E$5:$E$204,MATCH(C13,'Контент-план'!$A$5:$A$204,0)),""))</f>
        <v>Один день монтажної бригади</v>
      </c>
      <c r="D15" s="21" t="str">
        <f aca="false">IF(D13="","",IFERROR(INDEX('Контент-план'!$E$5:$E$204,MATCH(D13,'Контент-план'!$A$5:$A$204,0)),""))</f>
        <v>Чекліст: 5 ознак, що вентиляція не справляється</v>
      </c>
      <c r="E15" s="21" t="str">
        <f aca="false">IF(E13="","",IFERROR(INDEX('Контент-план'!$E$5:$E$204,MATCH(E13,'Контент-план'!$A$5:$A$204,0)),""))</f>
        <v>Кейс: вентиляція для коворкінгу — від заміру до запуску</v>
      </c>
      <c r="F15" s="21" t="str">
        <f aca="false">IF(F13="","",IFERROR(INDEX('Контент-план'!$E$5:$E$204,MATCH(F13,'Контент-план'!$A$5:$A$204,0)),""))</f>
        <v>Безкоштовний виїзд інженера на замір у листопаді</v>
      </c>
      <c r="G15" s="22" t="str">
        <f aca="false">IF(G13="","",IFERROR(INDEX('Контент-план'!$E$5:$E$204,MATCH(G13,'Контент-план'!$A$5:$A$204,0)),""))</f>
        <v/>
      </c>
      <c r="H15" s="22" t="str">
        <f aca="false">IF(H13="","",IFERROR(INDEX('Контент-план'!$E$5:$E$204,MATCH(H13,'Контент-план'!$A$5:$A$204,0)),""))</f>
        <v/>
      </c>
    </row>
    <row r="16" customFormat="false" ht="27.75" hidden="false" customHeight="true" outlineLevel="0" collapsed="false">
      <c r="A16" s="23" t="s">
        <v>76</v>
      </c>
      <c r="B16" s="24" t="str">
        <f aca="false">IF(B13="","",IFERROR(INDEX('Контент-план'!$F$5:$F$204,MATCH(B13,'Контент-план'!$A$5:$A$204,0))&amp;" · "&amp;INDEX('Контент-план'!$C$5:$C$204,MATCH(B13,'Контент-план'!$A$5:$A$204,0))&amp;IF(COUNTIF('Контент-план'!$A$5:$A$204,B13)&gt;1," (+"&amp;(COUNTIF('Контент-план'!$A$5:$A$204,B13)-1)&amp;")",""),""))</f>
        <v>Карусель · Instagram</v>
      </c>
      <c r="C16" s="24" t="str">
        <f aca="false">IF(C13="","",IFERROR(INDEX('Контент-план'!$F$5:$F$204,MATCH(C13,'Контент-план'!$A$5:$A$204,0))&amp;" · "&amp;INDEX('Контент-план'!$C$5:$C$204,MATCH(C13,'Контент-план'!$A$5:$A$204,0))&amp;IF(COUNTIF('Контент-план'!$A$5:$A$204,C13)&gt;1," (+"&amp;(COUNTIF('Контент-план'!$A$5:$A$204,C13)-1)&amp;")",""),""))</f>
        <v>Reels · TikTok / Reels</v>
      </c>
      <c r="D16" s="24" t="str">
        <f aca="false">IF(D13="","",IFERROR(INDEX('Контент-план'!$F$5:$F$204,MATCH(D13,'Контент-план'!$A$5:$A$204,0))&amp;" · "&amp;INDEX('Контент-план'!$C$5:$C$204,MATCH(D13,'Контент-план'!$A$5:$A$204,0))&amp;IF(COUNTIF('Контент-план'!$A$5:$A$204,D13)&gt;1," (+"&amp;(COUNTIF('Контент-план'!$A$5:$A$204,D13)-1)&amp;")",""),""))</f>
        <v>Текст · Telegram</v>
      </c>
      <c r="E16" s="24" t="str">
        <f aca="false">IF(E13="","",IFERROR(INDEX('Контент-план'!$F$5:$F$204,MATCH(E13,'Контент-план'!$A$5:$A$204,0))&amp;" · "&amp;INDEX('Контент-план'!$C$5:$C$204,MATCH(E13,'Контент-план'!$A$5:$A$204,0))&amp;IF(COUNTIF('Контент-план'!$A$5:$A$204,E13)&gt;1," (+"&amp;(COUNTIF('Контент-план'!$A$5:$A$204,E13)-1)&amp;")",""),""))</f>
        <v>Текст · LinkedIn</v>
      </c>
      <c r="F16" s="24" t="str">
        <f aca="false">IF(F13="","",IFERROR(INDEX('Контент-план'!$F$5:$F$204,MATCH(F13,'Контент-план'!$A$5:$A$204,0))&amp;" · "&amp;INDEX('Контент-план'!$C$5:$C$204,MATCH(F13,'Контент-план'!$A$5:$A$204,0))&amp;IF(COUNTIF('Контент-план'!$A$5:$A$204,F13)&gt;1," (+"&amp;(COUNTIF('Контент-план'!$A$5:$A$204,F13)-1)&amp;")",""),""))</f>
        <v>Допис з фото · Facebook</v>
      </c>
      <c r="G16" s="25" t="str">
        <f aca="false">IF(G13="","",IFERROR(INDEX('Контент-план'!$F$5:$F$204,MATCH(G13,'Контент-план'!$A$5:$A$204,0))&amp;" · "&amp;INDEX('Контент-план'!$C$5:$C$204,MATCH(G13,'Контент-план'!$A$5:$A$204,0))&amp;IF(COUNTIF('Контент-план'!$A$5:$A$204,G13)&gt;1," (+"&amp;(COUNTIF('Контент-план'!$A$5:$A$204,G13)-1)&amp;")",""),""))</f>
        <v/>
      </c>
      <c r="H16" s="25" t="str">
        <f aca="false">IF(H13="","",IFERROR(INDEX('Контент-план'!$F$5:$F$204,MATCH(H13,'Контент-план'!$A$5:$A$204,0))&amp;" · "&amp;INDEX('Контент-план'!$C$5:$C$204,MATCH(H13,'Контент-план'!$A$5:$A$204,0))&amp;IF(COUNTIF('Контент-план'!$A$5:$A$204,H13)&gt;1," (+"&amp;(COUNTIF('Контент-план'!$A$5:$A$204,H13)-1)&amp;")",""),""))</f>
        <v/>
      </c>
    </row>
    <row r="17" customFormat="false" ht="18" hidden="false" customHeight="true" outlineLevel="0" collapsed="false">
      <c r="A17" s="15" t="str">
        <f aca="false">IF(AND(MONTH((GridStart+21))&lt;&gt;SelMonth,MONTH((GridStart+21)+6)&lt;&gt;SelMonth),"","Тиждень "&amp;INT(((GridStart+21)+3-DATE(YEAR((GridStart+21)+3),1,1))/7)+1)</f>
        <v>Тиждень 47</v>
      </c>
      <c r="B17" s="16" t="n">
        <f aca="false">IF(MONTH((GridStart+21))=SelMonth,(GridStart+21),"")</f>
        <v>46342</v>
      </c>
      <c r="C17" s="16" t="n">
        <f aca="false">IF(MONTH((GridStart+22))=SelMonth,(GridStart+22),"")</f>
        <v>46343</v>
      </c>
      <c r="D17" s="16" t="n">
        <f aca="false">IF(MONTH((GridStart+23))=SelMonth,(GridStart+23),"")</f>
        <v>46344</v>
      </c>
      <c r="E17" s="16" t="n">
        <f aca="false">IF(MONTH((GridStart+24))=SelMonth,(GridStart+24),"")</f>
        <v>46345</v>
      </c>
      <c r="F17" s="16" t="n">
        <f aca="false">IF(MONTH((GridStart+25))=SelMonth,(GridStart+25),"")</f>
        <v>46346</v>
      </c>
      <c r="G17" s="17" t="n">
        <f aca="false">IF(MONTH((GridStart+26))=SelMonth,(GridStart+26),"")</f>
        <v>46347</v>
      </c>
      <c r="H17" s="17" t="n">
        <f aca="false">IF(MONTH((GridStart+27))=SelMonth,(GridStart+27),"")</f>
        <v>46348</v>
      </c>
    </row>
    <row r="18" customFormat="false" ht="15" hidden="false" customHeight="true" outlineLevel="0" collapsed="false">
      <c r="A18" s="18" t="s">
        <v>5</v>
      </c>
      <c r="B18" s="19" t="str">
        <f aca="false">IF(B17="","",IFERROR(INDEX('Контент-план'!$D$5:$D$204,MATCH(B17,'Контент-план'!$A$5:$A$204,0)),""))</f>
        <v>Експертний</v>
      </c>
      <c r="C18" s="19" t="str">
        <f aca="false">IF(C17="","",IFERROR(INDEX('Контент-план'!$D$5:$D$204,MATCH(C17,'Контент-план'!$A$5:$A$204,0)),""))</f>
        <v>Залучення</v>
      </c>
      <c r="D18" s="19" t="str">
        <f aca="false">IF(D17="","",IFERROR(INDEX('Контент-план'!$D$5:$D$204,MATCH(D17,'Контент-план'!$A$5:$A$204,0)),""))</f>
        <v>Експертний</v>
      </c>
      <c r="E18" s="19" t="str">
        <f aca="false">IF(E17="","",IFERROR(INDEX('Контент-план'!$D$5:$D$204,MATCH(E17,'Контент-план'!$A$5:$A$204,0)),""))</f>
        <v>Довіра</v>
      </c>
      <c r="F18" s="19" t="str">
        <f aca="false">IF(F17="","",IFERROR(INDEX('Контент-план'!$D$5:$D$204,MATCH(F17,'Контент-план'!$A$5:$A$204,0)),""))</f>
        <v>Продажі</v>
      </c>
      <c r="G18" s="20" t="str">
        <f aca="false">IF(G17="","",IFERROR(INDEX('Контент-план'!$D$5:$D$204,MATCH(G17,'Контент-план'!$A$5:$A$204,0)),""))</f>
        <v/>
      </c>
      <c r="H18" s="20" t="str">
        <f aca="false">IF(H17="","",IFERROR(INDEX('Контент-план'!$D$5:$D$204,MATCH(H17,'Контент-план'!$A$5:$A$204,0)),""))</f>
        <v/>
      </c>
    </row>
    <row r="19" customFormat="false" ht="43.5" hidden="false" customHeight="true" outlineLevel="0" collapsed="false">
      <c r="A19" s="18" t="s">
        <v>6</v>
      </c>
      <c r="B19" s="21" t="str">
        <f aca="false">IF(B17="","",IFERROR(INDEX('Контент-план'!$E$5:$E$204,MATCH(B17,'Контент-план'!$A$5:$A$204,0)),""))</f>
        <v>Рекуператор чи кондиціонер: у чому різниця</v>
      </c>
      <c r="C19" s="21" t="str">
        <f aca="false">IF(C17="","",IFERROR(INDEX('Контент-план'!$E$5:$E$204,MATCH(C17,'Контент-план'!$A$5:$A$204,0)),""))</f>
        <v>Вгадайте, скільки пилу збирає фільтр за пів року</v>
      </c>
      <c r="D19" s="21" t="str">
        <f aca="false">IF(D17="","",IFERROR(INDEX('Контент-план'!$E$5:$E$204,MATCH(D17,'Контент-план'!$A$5:$A$204,0)),""))</f>
        <v>Що перевірити перед прийманням робіт</v>
      </c>
      <c r="E19" s="21" t="str">
        <f aca="false">IF(E17="","",IFERROR(INDEX('Контент-план'!$E$5:$E$204,MATCH(E17,'Контент-план'!$A$5:$A$204,0)),""))</f>
        <v>Відгук директора школи після заміни вентиляції</v>
      </c>
      <c r="F19" s="21" t="str">
        <f aca="false">IF(F17="","",IFERROR(INDEX('Контент-план'!$E$5:$E$204,MATCH(F17,'Контент-план'!$A$5:$A$204,0)),""))</f>
        <v>Пакет «Сервіс на рік»: що входить</v>
      </c>
      <c r="G19" s="22" t="str">
        <f aca="false">IF(G17="","",IFERROR(INDEX('Контент-план'!$E$5:$E$204,MATCH(G17,'Контент-план'!$A$5:$A$204,0)),""))</f>
        <v/>
      </c>
      <c r="H19" s="22" t="str">
        <f aca="false">IF(H17="","",IFERROR(INDEX('Контент-план'!$E$5:$E$204,MATCH(H17,'Контент-план'!$A$5:$A$204,0)),""))</f>
        <v/>
      </c>
    </row>
    <row r="20" customFormat="false" ht="27.75" hidden="false" customHeight="true" outlineLevel="0" collapsed="false">
      <c r="A20" s="23" t="s">
        <v>76</v>
      </c>
      <c r="B20" s="24" t="str">
        <f aca="false">IF(B17="","",IFERROR(INDEX('Контент-план'!$F$5:$F$204,MATCH(B17,'Контент-план'!$A$5:$A$204,0))&amp;" · "&amp;INDEX('Контент-план'!$C$5:$C$204,MATCH(B17,'Контент-план'!$A$5:$A$204,0))&amp;IF(COUNTIF('Контент-план'!$A$5:$A$204,B17)&gt;1," (+"&amp;(COUNTIF('Контент-план'!$A$5:$A$204,B17)-1)&amp;")",""),""))</f>
        <v>Карусель · Instagram</v>
      </c>
      <c r="C20" s="24" t="str">
        <f aca="false">IF(C17="","",IFERROR(INDEX('Контент-план'!$F$5:$F$204,MATCH(C17,'Контент-план'!$A$5:$A$204,0))&amp;" · "&amp;INDEX('Контент-план'!$C$5:$C$204,MATCH(C17,'Контент-план'!$A$5:$A$204,0))&amp;IF(COUNTIF('Контент-план'!$A$5:$A$204,C17)&gt;1," (+"&amp;(COUNTIF('Контент-план'!$A$5:$A$204,C17)-1)&amp;")",""),""))</f>
        <v>Reels · TikTok / Reels</v>
      </c>
      <c r="D20" s="24" t="str">
        <f aca="false">IF(D17="","",IFERROR(INDEX('Контент-план'!$F$5:$F$204,MATCH(D17,'Контент-план'!$A$5:$A$204,0))&amp;" · "&amp;INDEX('Контент-план'!$C$5:$C$204,MATCH(D17,'Контент-план'!$A$5:$A$204,0))&amp;IF(COUNTIF('Контент-план'!$A$5:$A$204,D17)&gt;1," (+"&amp;(COUNTIF('Контент-план'!$A$5:$A$204,D17)-1)&amp;")",""),""))</f>
        <v>Текст · Telegram</v>
      </c>
      <c r="E20" s="24" t="str">
        <f aca="false">IF(E17="","",IFERROR(INDEX('Контент-план'!$F$5:$F$204,MATCH(E17,'Контент-план'!$A$5:$A$204,0))&amp;" · "&amp;INDEX('Контент-план'!$C$5:$C$204,MATCH(E17,'Контент-план'!$A$5:$A$204,0))&amp;IF(COUNTIF('Контент-план'!$A$5:$A$204,E17)&gt;1," (+"&amp;(COUNTIF('Контент-план'!$A$5:$A$204,E17)-1)&amp;")",""),""))</f>
        <v>Допис з фото · Facebook</v>
      </c>
      <c r="F20" s="24" t="str">
        <f aca="false">IF(F17="","",IFERROR(INDEX('Контент-план'!$F$5:$F$204,MATCH(F17,'Контент-план'!$A$5:$A$204,0))&amp;" · "&amp;INDEX('Контент-план'!$C$5:$C$204,MATCH(F17,'Контент-план'!$A$5:$A$204,0))&amp;IF(COUNTIF('Контент-план'!$A$5:$A$204,F17)&gt;1," (+"&amp;(COUNTIF('Контент-план'!$A$5:$A$204,F17)-1)&amp;")",""),""))</f>
        <v>Карусель · Instagram</v>
      </c>
      <c r="G20" s="25" t="str">
        <f aca="false">IF(G17="","",IFERROR(INDEX('Контент-план'!$F$5:$F$204,MATCH(G17,'Контент-план'!$A$5:$A$204,0))&amp;" · "&amp;INDEX('Контент-план'!$C$5:$C$204,MATCH(G17,'Контент-план'!$A$5:$A$204,0))&amp;IF(COUNTIF('Контент-план'!$A$5:$A$204,G17)&gt;1," (+"&amp;(COUNTIF('Контент-план'!$A$5:$A$204,G17)-1)&amp;")",""),""))</f>
        <v/>
      </c>
      <c r="H20" s="25" t="str">
        <f aca="false">IF(H17="","",IFERROR(INDEX('Контент-план'!$F$5:$F$204,MATCH(H17,'Контент-план'!$A$5:$A$204,0))&amp;" · "&amp;INDEX('Контент-план'!$C$5:$C$204,MATCH(H17,'Контент-план'!$A$5:$A$204,0))&amp;IF(COUNTIF('Контент-план'!$A$5:$A$204,H17)&gt;1," (+"&amp;(COUNTIF('Контент-план'!$A$5:$A$204,H17)-1)&amp;")",""),""))</f>
        <v/>
      </c>
    </row>
    <row r="21" customFormat="false" ht="18" hidden="false" customHeight="true" outlineLevel="0" collapsed="false">
      <c r="A21" s="15" t="str">
        <f aca="false">IF(AND(MONTH((GridStart+28))&lt;&gt;SelMonth,MONTH((GridStart+28)+6)&lt;&gt;SelMonth),"","Тиждень "&amp;INT(((GridStart+28)+3-DATE(YEAR((GridStart+28)+3),1,1))/7)+1)</f>
        <v>Тиждень 48</v>
      </c>
      <c r="B21" s="16" t="n">
        <f aca="false">IF(MONTH((GridStart+28))=SelMonth,(GridStart+28),"")</f>
        <v>46349</v>
      </c>
      <c r="C21" s="16" t="n">
        <f aca="false">IF(MONTH((GridStart+29))=SelMonth,(GridStart+29),"")</f>
        <v>46350</v>
      </c>
      <c r="D21" s="16" t="n">
        <f aca="false">IF(MONTH((GridStart+30))=SelMonth,(GridStart+30),"")</f>
        <v>46351</v>
      </c>
      <c r="E21" s="16" t="n">
        <f aca="false">IF(MONTH((GridStart+31))=SelMonth,(GridStart+31),"")</f>
        <v>46352</v>
      </c>
      <c r="F21" s="16" t="n">
        <f aca="false">IF(MONTH((GridStart+32))=SelMonth,(GridStart+32),"")</f>
        <v>46353</v>
      </c>
      <c r="G21" s="17" t="n">
        <f aca="false">IF(MONTH((GridStart+33))=SelMonth,(GridStart+33),"")</f>
        <v>46354</v>
      </c>
      <c r="H21" s="17" t="n">
        <f aca="false">IF(MONTH((GridStart+34))=SelMonth,(GridStart+34),"")</f>
        <v>46355</v>
      </c>
    </row>
    <row r="22" customFormat="false" ht="15" hidden="false" customHeight="true" outlineLevel="0" collapsed="false">
      <c r="A22" s="18" t="s">
        <v>5</v>
      </c>
      <c r="B22" s="19" t="str">
        <f aca="false">IF(B21="","",IFERROR(INDEX('Контент-план'!$D$5:$D$204,MATCH(B21,'Контент-план'!$A$5:$A$204,0)),""))</f>
        <v>Експертний</v>
      </c>
      <c r="C22" s="19" t="str">
        <f aca="false">IF(C21="","",IFERROR(INDEX('Контент-план'!$D$5:$D$204,MATCH(C21,'Контент-план'!$A$5:$A$204,0)),""))</f>
        <v>Експертний</v>
      </c>
      <c r="D22" s="19" t="str">
        <f aca="false">IF(D21="","",IFERROR(INDEX('Контент-план'!$D$5:$D$204,MATCH(D21,'Контент-план'!$A$5:$A$204,0)),""))</f>
        <v>Залучення</v>
      </c>
      <c r="E22" s="19" t="str">
        <f aca="false">IF(E21="","",IFERROR(INDEX('Контент-план'!$D$5:$D$204,MATCH(E21,'Контент-план'!$A$5:$A$204,0)),""))</f>
        <v>Експертний</v>
      </c>
      <c r="F22" s="19" t="str">
        <f aca="false">IF(F21="","",IFERROR(INDEX('Контент-план'!$D$5:$D$204,MATCH(F21,'Контент-план'!$A$5:$A$204,0)),""))</f>
        <v>Продажі</v>
      </c>
      <c r="G22" s="20" t="str">
        <f aca="false">IF(G21="","",IFERROR(INDEX('Контент-план'!$D$5:$D$204,MATCH(G21,'Контент-план'!$A$5:$A$204,0)),""))</f>
        <v/>
      </c>
      <c r="H22" s="20" t="str">
        <f aca="false">IF(H21="","",IFERROR(INDEX('Контент-план'!$D$5:$D$204,MATCH(H21,'Контент-план'!$A$5:$A$204,0)),""))</f>
        <v/>
      </c>
    </row>
    <row r="23" customFormat="false" ht="43.5" hidden="false" customHeight="true" outlineLevel="0" collapsed="false">
      <c r="A23" s="18" t="s">
        <v>6</v>
      </c>
      <c r="B23" s="21" t="str">
        <f aca="false">IF(B21="","",IFERROR(INDEX('Контент-план'!$E$5:$E$204,MATCH(B21,'Контент-план'!$A$5:$A$204,0)),""))</f>
        <v>Шум від вентиляції: 3 причини і що з ними робити</v>
      </c>
      <c r="C23" s="21" t="str">
        <f aca="false">IF(C21="","",IFERROR(INDEX('Контент-план'!$E$5:$E$204,MATCH(C21,'Контент-план'!$A$5:$A$204,0)),""))</f>
        <v>Як виглядає правильний монтаж повітроводу</v>
      </c>
      <c r="D23" s="21" t="str">
        <f aca="false">IF(D21="","",IFERROR(INDEX('Контент-план'!$E$5:$E$204,MATCH(D21,'Контент-план'!$A$5:$A$204,0)),""))</f>
        <v>Питання тижня: яку тему розібрати наступною?</v>
      </c>
      <c r="E23" s="21" t="str">
        <f aca="false">IF(E21="","",IFERROR(INDEX('Контент-план'!$E$5:$E$204,MATCH(E21,'Контент-план'!$A$5:$A$204,0)),""))</f>
        <v>З чого почати проєкт вентиляції для нового офісу</v>
      </c>
      <c r="F23" s="21" t="str">
        <f aca="false">IF(F21="","",IFERROR(INDEX('Контент-план'!$E$5:$E$204,MATCH(F21,'Контент-план'!$A$5:$A$204,0)),""))</f>
        <v>Запис на сезонне обслуговування до кінця року</v>
      </c>
      <c r="G23" s="22" t="str">
        <f aca="false">IF(G21="","",IFERROR(INDEX('Контент-план'!$E$5:$E$204,MATCH(G21,'Контент-план'!$A$5:$A$204,0)),""))</f>
        <v/>
      </c>
      <c r="H23" s="22" t="str">
        <f aca="false">IF(H21="","",IFERROR(INDEX('Контент-план'!$E$5:$E$204,MATCH(H21,'Контент-план'!$A$5:$A$204,0)),""))</f>
        <v/>
      </c>
    </row>
    <row r="24" customFormat="false" ht="27.75" hidden="false" customHeight="true" outlineLevel="0" collapsed="false">
      <c r="A24" s="23" t="s">
        <v>76</v>
      </c>
      <c r="B24" s="24" t="str">
        <f aca="false">IF(B21="","",IFERROR(INDEX('Контент-план'!$F$5:$F$204,MATCH(B21,'Контент-план'!$A$5:$A$204,0))&amp;" · "&amp;INDEX('Контент-план'!$C$5:$C$204,MATCH(B21,'Контент-план'!$A$5:$A$204,0))&amp;IF(COUNTIF('Контент-план'!$A$5:$A$204,B21)&gt;1," (+"&amp;(COUNTIF('Контент-план'!$A$5:$A$204,B21)-1)&amp;")",""),""))</f>
        <v>Карусель · Instagram</v>
      </c>
      <c r="C24" s="24" t="str">
        <f aca="false">IF(C21="","",IFERROR(INDEX('Контент-план'!$F$5:$F$204,MATCH(C21,'Контент-план'!$A$5:$A$204,0))&amp;" · "&amp;INDEX('Контент-план'!$C$5:$C$204,MATCH(C21,'Контент-план'!$A$5:$A$204,0))&amp;IF(COUNTIF('Контент-план'!$A$5:$A$204,C21)&gt;1," (+"&amp;(COUNTIF('Контент-план'!$A$5:$A$204,C21)-1)&amp;")",""),""))</f>
        <v>Reels · TikTok / Reels</v>
      </c>
      <c r="D24" s="24" t="str">
        <f aca="false">IF(D21="","",IFERROR(INDEX('Контент-план'!$F$5:$F$204,MATCH(D21,'Контент-план'!$A$5:$A$204,0))&amp;" · "&amp;INDEX('Контент-план'!$C$5:$C$204,MATCH(D21,'Контент-план'!$A$5:$A$204,0))&amp;IF(COUNTIF('Контент-план'!$A$5:$A$204,D21)&gt;1," (+"&amp;(COUNTIF('Контент-план'!$A$5:$A$204,D21)-1)&amp;")",""),""))</f>
        <v>Текст · Telegram</v>
      </c>
      <c r="E24" s="24" t="str">
        <f aca="false">IF(E21="","",IFERROR(INDEX('Контент-план'!$F$5:$F$204,MATCH(E21,'Контент-план'!$A$5:$A$204,0))&amp;" · "&amp;INDEX('Контент-план'!$C$5:$C$204,MATCH(E21,'Контент-план'!$A$5:$A$204,0))&amp;IF(COUNTIF('Контент-план'!$A$5:$A$204,E21)&gt;1," (+"&amp;(COUNTIF('Контент-план'!$A$5:$A$204,E21)-1)&amp;")",""),""))</f>
        <v>Текст · LinkedIn</v>
      </c>
      <c r="F24" s="24" t="str">
        <f aca="false">IF(F21="","",IFERROR(INDEX('Контент-план'!$F$5:$F$204,MATCH(F21,'Контент-план'!$A$5:$A$204,0))&amp;" · "&amp;INDEX('Контент-план'!$C$5:$C$204,MATCH(F21,'Контент-план'!$A$5:$A$204,0))&amp;IF(COUNTIF('Контент-план'!$A$5:$A$204,F21)&gt;1," (+"&amp;(COUNTIF('Контент-план'!$A$5:$A$204,F21)-1)&amp;")",""),""))</f>
        <v>Допис з фото · Facebook</v>
      </c>
      <c r="G24" s="25" t="str">
        <f aca="false">IF(G21="","",IFERROR(INDEX('Контент-план'!$F$5:$F$204,MATCH(G21,'Контент-план'!$A$5:$A$204,0))&amp;" · "&amp;INDEX('Контент-план'!$C$5:$C$204,MATCH(G21,'Контент-план'!$A$5:$A$204,0))&amp;IF(COUNTIF('Контент-план'!$A$5:$A$204,G21)&gt;1," (+"&amp;(COUNTIF('Контент-план'!$A$5:$A$204,G21)-1)&amp;")",""),""))</f>
        <v/>
      </c>
      <c r="H24" s="25" t="str">
        <f aca="false">IF(H21="","",IFERROR(INDEX('Контент-план'!$F$5:$F$204,MATCH(H21,'Контент-план'!$A$5:$A$204,0))&amp;" · "&amp;INDEX('Контент-план'!$C$5:$C$204,MATCH(H21,'Контент-план'!$A$5:$A$204,0))&amp;IF(COUNTIF('Контент-план'!$A$5:$A$204,H21)&gt;1," (+"&amp;(COUNTIF('Контент-план'!$A$5:$A$204,H21)-1)&amp;")",""),""))</f>
        <v/>
      </c>
    </row>
    <row r="25" customFormat="false" ht="18" hidden="false" customHeight="true" outlineLevel="0" collapsed="false">
      <c r="A25" s="15" t="str">
        <f aca="false">IF(AND(MONTH((GridStart+35))&lt;&gt;SelMonth,MONTH((GridStart+35)+6)&lt;&gt;SelMonth),"","Тиждень "&amp;INT(((GridStart+35)+3-DATE(YEAR((GridStart+35)+3),1,1))/7)+1)</f>
        <v>Тиждень 49</v>
      </c>
      <c r="B25" s="16" t="n">
        <f aca="false">IF(MONTH((GridStart+35))=SelMonth,(GridStart+35),"")</f>
        <v>46356</v>
      </c>
      <c r="C25" s="16" t="str">
        <f aca="false">IF(MONTH((GridStart+36))=SelMonth,(GridStart+36),"")</f>
        <v/>
      </c>
      <c r="D25" s="16" t="str">
        <f aca="false">IF(MONTH((GridStart+37))=SelMonth,(GridStart+37),"")</f>
        <v/>
      </c>
      <c r="E25" s="16" t="str">
        <f aca="false">IF(MONTH((GridStart+38))=SelMonth,(GridStart+38),"")</f>
        <v/>
      </c>
      <c r="F25" s="16" t="str">
        <f aca="false">IF(MONTH((GridStart+39))=SelMonth,(GridStart+39),"")</f>
        <v/>
      </c>
      <c r="G25" s="17" t="str">
        <f aca="false">IF(MONTH((GridStart+40))=SelMonth,(GridStart+40),"")</f>
        <v/>
      </c>
      <c r="H25" s="17" t="str">
        <f aca="false">IF(MONTH((GridStart+41))=SelMonth,(GridStart+41),"")</f>
        <v/>
      </c>
    </row>
    <row r="26" customFormat="false" ht="15" hidden="false" customHeight="true" outlineLevel="0" collapsed="false">
      <c r="A26" s="18" t="s">
        <v>5</v>
      </c>
      <c r="B26" s="19" t="str">
        <f aca="false">IF(B25="","",IFERROR(INDEX('Контент-план'!$D$5:$D$204,MATCH(B25,'Контент-план'!$A$5:$A$204,0)),""))</f>
        <v>Залучення</v>
      </c>
      <c r="C26" s="19" t="str">
        <f aca="false">IF(C25="","",IFERROR(INDEX('Контент-план'!$D$5:$D$204,MATCH(C25,'Контент-план'!$A$5:$A$204,0)),""))</f>
        <v/>
      </c>
      <c r="D26" s="19" t="str">
        <f aca="false">IF(D25="","",IFERROR(INDEX('Контент-план'!$D$5:$D$204,MATCH(D25,'Контент-план'!$A$5:$A$204,0)),""))</f>
        <v/>
      </c>
      <c r="E26" s="19" t="str">
        <f aca="false">IF(E25="","",IFERROR(INDEX('Контент-план'!$D$5:$D$204,MATCH(E25,'Контент-план'!$A$5:$A$204,0)),""))</f>
        <v/>
      </c>
      <c r="F26" s="19" t="str">
        <f aca="false">IF(F25="","",IFERROR(INDEX('Контент-план'!$D$5:$D$204,MATCH(F25,'Контент-план'!$A$5:$A$204,0)),""))</f>
        <v/>
      </c>
      <c r="G26" s="20" t="str">
        <f aca="false">IF(G25="","",IFERROR(INDEX('Контент-план'!$D$5:$D$204,MATCH(G25,'Контент-план'!$A$5:$A$204,0)),""))</f>
        <v/>
      </c>
      <c r="H26" s="20" t="str">
        <f aca="false">IF(H25="","",IFERROR(INDEX('Контент-план'!$D$5:$D$204,MATCH(H25,'Контент-план'!$A$5:$A$204,0)),""))</f>
        <v/>
      </c>
    </row>
    <row r="27" customFormat="false" ht="43.5" hidden="false" customHeight="true" outlineLevel="0" collapsed="false">
      <c r="A27" s="18" t="s">
        <v>6</v>
      </c>
      <c r="B27" s="21" t="str">
        <f aca="false">IF(B25="","",IFERROR(INDEX('Контент-план'!$E$5:$E$204,MATCH(B25,'Контент-план'!$A$5:$A$204,0)),""))</f>
        <v>Ваші запитання про вентиляцію: відповідаємо в коментарях</v>
      </c>
      <c r="C27" s="21" t="str">
        <f aca="false">IF(C25="","",IFERROR(INDEX('Контент-план'!$E$5:$E$204,MATCH(C25,'Контент-план'!$A$5:$A$204,0)),""))</f>
        <v/>
      </c>
      <c r="D27" s="21" t="str">
        <f aca="false">IF(D25="","",IFERROR(INDEX('Контент-план'!$E$5:$E$204,MATCH(D25,'Контент-план'!$A$5:$A$204,0)),""))</f>
        <v/>
      </c>
      <c r="E27" s="21" t="str">
        <f aca="false">IF(E25="","",IFERROR(INDEX('Контент-план'!$E$5:$E$204,MATCH(E25,'Контент-план'!$A$5:$A$204,0)),""))</f>
        <v/>
      </c>
      <c r="F27" s="21" t="str">
        <f aca="false">IF(F25="","",IFERROR(INDEX('Контент-план'!$E$5:$E$204,MATCH(F25,'Контент-план'!$A$5:$A$204,0)),""))</f>
        <v/>
      </c>
      <c r="G27" s="22" t="str">
        <f aca="false">IF(G25="","",IFERROR(INDEX('Контент-план'!$E$5:$E$204,MATCH(G25,'Контент-план'!$A$5:$A$204,0)),""))</f>
        <v/>
      </c>
      <c r="H27" s="22" t="str">
        <f aca="false">IF(H25="","",IFERROR(INDEX('Контент-план'!$E$5:$E$204,MATCH(H25,'Контент-план'!$A$5:$A$204,0)),""))</f>
        <v/>
      </c>
    </row>
    <row r="28" customFormat="false" ht="27.75" hidden="false" customHeight="true" outlineLevel="0" collapsed="false">
      <c r="A28" s="23" t="s">
        <v>76</v>
      </c>
      <c r="B28" s="24" t="str">
        <f aca="false">IF(B25="","",IFERROR(INDEX('Контент-план'!$F$5:$F$204,MATCH(B25,'Контент-план'!$A$5:$A$204,0))&amp;" · "&amp;INDEX('Контент-план'!$C$5:$C$204,MATCH(B25,'Контент-план'!$A$5:$A$204,0))&amp;IF(COUNTIF('Контент-план'!$A$5:$A$204,B25)&gt;1," (+"&amp;(COUNTIF('Контент-план'!$A$5:$A$204,B25)-1)&amp;")",""),""))</f>
        <v>Допис з фото · Instagram</v>
      </c>
      <c r="C28" s="24" t="str">
        <f aca="false">IF(C25="","",IFERROR(INDEX('Контент-план'!$F$5:$F$204,MATCH(C25,'Контент-план'!$A$5:$A$204,0))&amp;" · "&amp;INDEX('Контент-план'!$C$5:$C$204,MATCH(C25,'Контент-план'!$A$5:$A$204,0))&amp;IF(COUNTIF('Контент-план'!$A$5:$A$204,C25)&gt;1," (+"&amp;(COUNTIF('Контент-план'!$A$5:$A$204,C25)-1)&amp;")",""),""))</f>
        <v/>
      </c>
      <c r="D28" s="24" t="str">
        <f aca="false">IF(D25="","",IFERROR(INDEX('Контент-план'!$F$5:$F$204,MATCH(D25,'Контент-план'!$A$5:$A$204,0))&amp;" · "&amp;INDEX('Контент-план'!$C$5:$C$204,MATCH(D25,'Контент-план'!$A$5:$A$204,0))&amp;IF(COUNTIF('Контент-план'!$A$5:$A$204,D25)&gt;1," (+"&amp;(COUNTIF('Контент-план'!$A$5:$A$204,D25)-1)&amp;")",""),""))</f>
        <v/>
      </c>
      <c r="E28" s="24" t="str">
        <f aca="false">IF(E25="","",IFERROR(INDEX('Контент-план'!$F$5:$F$204,MATCH(E25,'Контент-план'!$A$5:$A$204,0))&amp;" · "&amp;INDEX('Контент-план'!$C$5:$C$204,MATCH(E25,'Контент-план'!$A$5:$A$204,0))&amp;IF(COUNTIF('Контент-план'!$A$5:$A$204,E25)&gt;1," (+"&amp;(COUNTIF('Контент-план'!$A$5:$A$204,E25)-1)&amp;")",""),""))</f>
        <v/>
      </c>
      <c r="F28" s="24" t="str">
        <f aca="false">IF(F25="","",IFERROR(INDEX('Контент-план'!$F$5:$F$204,MATCH(F25,'Контент-план'!$A$5:$A$204,0))&amp;" · "&amp;INDEX('Контент-план'!$C$5:$C$204,MATCH(F25,'Контент-план'!$A$5:$A$204,0))&amp;IF(COUNTIF('Контент-план'!$A$5:$A$204,F25)&gt;1," (+"&amp;(COUNTIF('Контент-план'!$A$5:$A$204,F25)-1)&amp;")",""),""))</f>
        <v/>
      </c>
      <c r="G28" s="25" t="str">
        <f aca="false">IF(G25="","",IFERROR(INDEX('Контент-план'!$F$5:$F$204,MATCH(G25,'Контент-план'!$A$5:$A$204,0))&amp;" · "&amp;INDEX('Контент-план'!$C$5:$C$204,MATCH(G25,'Контент-план'!$A$5:$A$204,0))&amp;IF(COUNTIF('Контент-план'!$A$5:$A$204,G25)&gt;1," (+"&amp;(COUNTIF('Контент-план'!$A$5:$A$204,G25)-1)&amp;")",""),""))</f>
        <v/>
      </c>
      <c r="H28" s="25" t="str">
        <f aca="false">IF(H25="","",IFERROR(INDEX('Контент-план'!$F$5:$F$204,MATCH(H25,'Контент-план'!$A$5:$A$204,0))&amp;" · "&amp;INDEX('Контент-план'!$C$5:$C$204,MATCH(H25,'Контент-план'!$A$5:$A$204,0))&amp;IF(COUNTIF('Контент-план'!$A$5:$A$204,H25)&gt;1," (+"&amp;(COUNTIF('Контент-план'!$A$5:$A$204,H25)-1)&amp;")",""),""))</f>
        <v/>
      </c>
    </row>
    <row r="30" customFormat="false" ht="15" hidden="false" customHeight="false" outlineLevel="0" collapsed="false">
      <c r="A30" s="8" t="s">
        <v>65</v>
      </c>
    </row>
  </sheetData>
  <sheetProtection sheet="true"/>
  <conditionalFormatting sqref="B5:H8">
    <cfRule type="expression" priority="2" aboveAverage="0" equalAverage="0" bottom="0" percent="0" rank="0" text="" dxfId="17">
      <formula>B$5=""</formula>
    </cfRule>
    <cfRule type="expression" priority="3" aboveAverage="0" equalAverage="0" bottom="0" percent="0" rank="0" text="" dxfId="9">
      <formula>AND(B$6&lt;&gt;"",B$6=INDEX(Pillars,1))</formula>
    </cfRule>
    <cfRule type="expression" priority="4" aboveAverage="0" equalAverage="0" bottom="0" percent="0" rank="0" text="" dxfId="10">
      <formula>AND(B$6&lt;&gt;"",B$6=INDEX(Pillars,2))</formula>
    </cfRule>
    <cfRule type="expression" priority="5" aboveAverage="0" equalAverage="0" bottom="0" percent="0" rank="0" text="" dxfId="11">
      <formula>AND(B$6&lt;&gt;"",B$6=INDEX(Pillars,3))</formula>
    </cfRule>
    <cfRule type="expression" priority="6" aboveAverage="0" equalAverage="0" bottom="0" percent="0" rank="0" text="" dxfId="12">
      <formula>AND(B$6&lt;&gt;"",B$6=INDEX(Pillars,4))</formula>
    </cfRule>
  </conditionalFormatting>
  <conditionalFormatting sqref="B9:H12">
    <cfRule type="expression" priority="7" aboveAverage="0" equalAverage="0" bottom="0" percent="0" rank="0" text="" dxfId="17">
      <formula>B$9=""</formula>
    </cfRule>
    <cfRule type="expression" priority="8" aboveAverage="0" equalAverage="0" bottom="0" percent="0" rank="0" text="" dxfId="9">
      <formula>AND(B$10&lt;&gt;"",B$10=INDEX(Pillars,1))</formula>
    </cfRule>
    <cfRule type="expression" priority="9" aboveAverage="0" equalAverage="0" bottom="0" percent="0" rank="0" text="" dxfId="10">
      <formula>AND(B$10&lt;&gt;"",B$10=INDEX(Pillars,2))</formula>
    </cfRule>
    <cfRule type="expression" priority="10" aboveAverage="0" equalAverage="0" bottom="0" percent="0" rank="0" text="" dxfId="11">
      <formula>AND(B$10&lt;&gt;"",B$10=INDEX(Pillars,3))</formula>
    </cfRule>
    <cfRule type="expression" priority="11" aboveAverage="0" equalAverage="0" bottom="0" percent="0" rank="0" text="" dxfId="12">
      <formula>AND(B$10&lt;&gt;"",B$10=INDEX(Pillars,4))</formula>
    </cfRule>
  </conditionalFormatting>
  <conditionalFormatting sqref="B13:H16">
    <cfRule type="expression" priority="12" aboveAverage="0" equalAverage="0" bottom="0" percent="0" rank="0" text="" dxfId="17">
      <formula>B$13=""</formula>
    </cfRule>
    <cfRule type="expression" priority="13" aboveAverage="0" equalAverage="0" bottom="0" percent="0" rank="0" text="" dxfId="9">
      <formula>AND(B$14&lt;&gt;"",B$14=INDEX(Pillars,1))</formula>
    </cfRule>
    <cfRule type="expression" priority="14" aboveAverage="0" equalAverage="0" bottom="0" percent="0" rank="0" text="" dxfId="10">
      <formula>AND(B$14&lt;&gt;"",B$14=INDEX(Pillars,2))</formula>
    </cfRule>
    <cfRule type="expression" priority="15" aboveAverage="0" equalAverage="0" bottom="0" percent="0" rank="0" text="" dxfId="11">
      <formula>AND(B$14&lt;&gt;"",B$14=INDEX(Pillars,3))</formula>
    </cfRule>
    <cfRule type="expression" priority="16" aboveAverage="0" equalAverage="0" bottom="0" percent="0" rank="0" text="" dxfId="12">
      <formula>AND(B$14&lt;&gt;"",B$14=INDEX(Pillars,4))</formula>
    </cfRule>
  </conditionalFormatting>
  <conditionalFormatting sqref="B17:H20">
    <cfRule type="expression" priority="17" aboveAverage="0" equalAverage="0" bottom="0" percent="0" rank="0" text="" dxfId="17">
      <formula>B$17=""</formula>
    </cfRule>
    <cfRule type="expression" priority="18" aboveAverage="0" equalAverage="0" bottom="0" percent="0" rank="0" text="" dxfId="9">
      <formula>AND(B$18&lt;&gt;"",B$18=INDEX(Pillars,1))</formula>
    </cfRule>
    <cfRule type="expression" priority="19" aboveAverage="0" equalAverage="0" bottom="0" percent="0" rank="0" text="" dxfId="10">
      <formula>AND(B$18&lt;&gt;"",B$18=INDEX(Pillars,2))</formula>
    </cfRule>
    <cfRule type="expression" priority="20" aboveAverage="0" equalAverage="0" bottom="0" percent="0" rank="0" text="" dxfId="11">
      <formula>AND(B$18&lt;&gt;"",B$18=INDEX(Pillars,3))</formula>
    </cfRule>
    <cfRule type="expression" priority="21" aboveAverage="0" equalAverage="0" bottom="0" percent="0" rank="0" text="" dxfId="12">
      <formula>AND(B$18&lt;&gt;"",B$18=INDEX(Pillars,4))</formula>
    </cfRule>
  </conditionalFormatting>
  <conditionalFormatting sqref="B21:H24">
    <cfRule type="expression" priority="22" aboveAverage="0" equalAverage="0" bottom="0" percent="0" rank="0" text="" dxfId="17">
      <formula>B$21=""</formula>
    </cfRule>
    <cfRule type="expression" priority="23" aboveAverage="0" equalAverage="0" bottom="0" percent="0" rank="0" text="" dxfId="9">
      <formula>AND(B$22&lt;&gt;"",B$22=INDEX(Pillars,1))</formula>
    </cfRule>
    <cfRule type="expression" priority="24" aboveAverage="0" equalAverage="0" bottom="0" percent="0" rank="0" text="" dxfId="10">
      <formula>AND(B$22&lt;&gt;"",B$22=INDEX(Pillars,2))</formula>
    </cfRule>
    <cfRule type="expression" priority="25" aboveAverage="0" equalAverage="0" bottom="0" percent="0" rank="0" text="" dxfId="11">
      <formula>AND(B$22&lt;&gt;"",B$22=INDEX(Pillars,3))</formula>
    </cfRule>
    <cfRule type="expression" priority="26" aboveAverage="0" equalAverage="0" bottom="0" percent="0" rank="0" text="" dxfId="12">
      <formula>AND(B$22&lt;&gt;"",B$22=INDEX(Pillars,4))</formula>
    </cfRule>
  </conditionalFormatting>
  <conditionalFormatting sqref="B25:H28">
    <cfRule type="expression" priority="27" aboveAverage="0" equalAverage="0" bottom="0" percent="0" rank="0" text="" dxfId="17">
      <formula>B$25=""</formula>
    </cfRule>
    <cfRule type="expression" priority="28" aboveAverage="0" equalAverage="0" bottom="0" percent="0" rank="0" text="" dxfId="9">
      <formula>AND(B$26&lt;&gt;"",B$26=INDEX(Pillars,1))</formula>
    </cfRule>
    <cfRule type="expression" priority="29" aboveAverage="0" equalAverage="0" bottom="0" percent="0" rank="0" text="" dxfId="10">
      <formula>AND(B$26&lt;&gt;"",B$26=INDEX(Pillars,2))</formula>
    </cfRule>
    <cfRule type="expression" priority="30" aboveAverage="0" equalAverage="0" bottom="0" percent="0" rank="0" text="" dxfId="11">
      <formula>AND(B$26&lt;&gt;"",B$26=INDEX(Pillars,3))</formula>
    </cfRule>
    <cfRule type="expression" priority="31" aboveAverage="0" equalAverage="0" bottom="0" percent="0" rank="0" text="" dxfId="12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26"/>
    <col collapsed="false" customWidth="true" hidden="false" outlineLevel="0" max="4" min="4" style="0" width="40"/>
    <col collapsed="false" customWidth="true" hidden="false" outlineLevel="0" max="5" min="5" style="0" width="38"/>
  </cols>
  <sheetData>
    <row r="1" customFormat="false" ht="17.35" hidden="false" customHeight="false" outlineLevel="0" collapsed="false">
      <c r="A1" s="1" t="s">
        <v>77</v>
      </c>
    </row>
    <row r="2" customFormat="false" ht="15" hidden="false" customHeight="false" outlineLevel="0" collapsed="false">
      <c r="A2" s="2" t="s">
        <v>78</v>
      </c>
    </row>
    <row r="4" customFormat="false" ht="15" hidden="false" customHeight="false" outlineLevel="0" collapsed="false">
      <c r="A4" s="3" t="s">
        <v>4</v>
      </c>
      <c r="B4" s="3" t="s">
        <v>7</v>
      </c>
      <c r="C4" s="3" t="s">
        <v>79</v>
      </c>
      <c r="D4" s="3" t="s">
        <v>80</v>
      </c>
      <c r="E4" s="3" t="s">
        <v>81</v>
      </c>
    </row>
    <row r="5" customFormat="false" ht="31.5" hidden="false" customHeight="true" outlineLevel="0" collapsed="false">
      <c r="A5" s="7" t="s">
        <v>10</v>
      </c>
      <c r="B5" s="7" t="s">
        <v>82</v>
      </c>
      <c r="C5" s="7" t="s">
        <v>83</v>
      </c>
      <c r="D5" s="7" t="s">
        <v>84</v>
      </c>
      <c r="E5" s="7" t="s">
        <v>85</v>
      </c>
    </row>
    <row r="6" customFormat="false" ht="31.5" hidden="false" customHeight="true" outlineLevel="0" collapsed="false">
      <c r="A6" s="7" t="s">
        <v>26</v>
      </c>
      <c r="B6" s="7" t="s">
        <v>86</v>
      </c>
      <c r="C6" s="7" t="s">
        <v>87</v>
      </c>
      <c r="D6" s="7" t="s">
        <v>88</v>
      </c>
      <c r="E6" s="7" t="s">
        <v>89</v>
      </c>
    </row>
    <row r="7" customFormat="false" ht="31.5" hidden="false" customHeight="true" outlineLevel="0" collapsed="false">
      <c r="A7" s="7" t="s">
        <v>16</v>
      </c>
      <c r="B7" s="7" t="s">
        <v>90</v>
      </c>
      <c r="C7" s="7" t="s">
        <v>91</v>
      </c>
      <c r="D7" s="7" t="s">
        <v>92</v>
      </c>
      <c r="E7" s="7" t="s">
        <v>93</v>
      </c>
    </row>
    <row r="8" customFormat="false" ht="31.5" hidden="false" customHeight="true" outlineLevel="0" collapsed="false">
      <c r="A8" s="7" t="s">
        <v>20</v>
      </c>
      <c r="B8" s="7" t="s">
        <v>94</v>
      </c>
      <c r="C8" s="7" t="s">
        <v>95</v>
      </c>
      <c r="D8" s="7" t="s">
        <v>96</v>
      </c>
      <c r="E8" s="7" t="s">
        <v>97</v>
      </c>
    </row>
    <row r="9" customFormat="false" ht="31.5" hidden="false" customHeight="true" outlineLevel="0" collapsed="false">
      <c r="A9" s="7" t="s">
        <v>37</v>
      </c>
      <c r="B9" s="7" t="s">
        <v>98</v>
      </c>
      <c r="C9" s="7" t="s">
        <v>99</v>
      </c>
      <c r="D9" s="7" t="s">
        <v>100</v>
      </c>
      <c r="E9" s="7" t="s">
        <v>101</v>
      </c>
    </row>
    <row r="11" customFormat="false" ht="15" hidden="false" customHeight="false" outlineLevel="0" collapsed="false">
      <c r="A11" s="8" t="s">
        <v>65</v>
      </c>
    </row>
  </sheetData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"Підсумок — "&amp;CHOOSE(SelMonth,"січень","лютий","березень","квітень","травень","червень","липень","серпень","вересень","жовтень","листопад","грудень")&amp;" "&amp;SelYear</f>
        <v>Підсумок — листопад 2026</v>
      </c>
    </row>
    <row r="2" customFormat="false" ht="15" hidden="false" customHeight="false" outlineLevel="0" collapsed="false">
      <c r="A2" s="8" t="s">
        <v>65</v>
      </c>
    </row>
    <row r="4" customFormat="false" ht="15" hidden="false" customHeight="false" outlineLevel="0" collapsed="false">
      <c r="B4" s="26" t="s">
        <v>102</v>
      </c>
    </row>
    <row r="5" customFormat="false" ht="15" hidden="false" customHeight="false" outlineLevel="0" collapsed="false">
      <c r="B5" s="3" t="s">
        <v>5</v>
      </c>
      <c r="C5" s="3" t="s">
        <v>103</v>
      </c>
      <c r="D5" s="3" t="s">
        <v>104</v>
      </c>
      <c r="E5" s="3" t="s">
        <v>105</v>
      </c>
      <c r="F5" s="3" t="s">
        <v>106</v>
      </c>
    </row>
    <row r="6" customFormat="false" ht="15" hidden="false" customHeight="false" outlineLevel="0" collapsed="false">
      <c r="B6" s="27" t="str">
        <f aca="false">Рубрики!B11</f>
        <v>Експертний</v>
      </c>
      <c r="C6" s="28" t="n">
        <f aca="false">Рубрики!C11</f>
        <v>0.4</v>
      </c>
      <c r="D6" s="29" t="n">
        <f aca="false">COUNTIFS('Контент-план'!$D$5:$D$204,B6,'Контент-план'!$A$5:$A$204,"&gt;="&amp;MonthStart,'Контент-план'!$A$5:$A$204,"&lt;="&amp;MonthEnd)</f>
        <v>9</v>
      </c>
      <c r="E6" s="28" t="n">
        <f aca="false">IF($D$10=0,"",D6/$D$10)</f>
        <v>0.45</v>
      </c>
      <c r="F6" s="30" t="n">
        <f aca="false">IF(E6="","",ROUND((E6-C6)*100,1))</f>
        <v>5</v>
      </c>
    </row>
    <row r="7" customFormat="false" ht="15" hidden="false" customHeight="false" outlineLevel="0" collapsed="false">
      <c r="B7" s="31" t="str">
        <f aca="false">Рубрики!B12</f>
        <v>Довіра</v>
      </c>
      <c r="C7" s="28" t="n">
        <f aca="false">Рубрики!C12</f>
        <v>0.25</v>
      </c>
      <c r="D7" s="29" t="n">
        <f aca="false">COUNTIFS('Контент-план'!$D$5:$D$204,B7,'Контент-план'!$A$5:$A$204,"&gt;="&amp;MonthStart,'Контент-план'!$A$5:$A$204,"&lt;="&amp;MonthEnd)</f>
        <v>4</v>
      </c>
      <c r="E7" s="28" t="n">
        <f aca="false">IF($D$10=0,"",D7/$D$10)</f>
        <v>0.2</v>
      </c>
      <c r="F7" s="30" t="n">
        <f aca="false">IF(E7="","",ROUND((E7-C7)*100,1))</f>
        <v>-5</v>
      </c>
    </row>
    <row r="8" customFormat="false" ht="15" hidden="false" customHeight="false" outlineLevel="0" collapsed="false">
      <c r="B8" s="32" t="str">
        <f aca="false">Рубрики!B13</f>
        <v>Залучення</v>
      </c>
      <c r="C8" s="28" t="n">
        <f aca="false">Рубрики!C13</f>
        <v>0.2</v>
      </c>
      <c r="D8" s="29" t="n">
        <f aca="false">COUNTIFS('Контент-план'!$D$5:$D$204,B8,'Контент-план'!$A$5:$A$204,"&gt;="&amp;MonthStart,'Контент-план'!$A$5:$A$204,"&lt;="&amp;MonthEnd)</f>
        <v>4</v>
      </c>
      <c r="E8" s="28" t="n">
        <f aca="false">IF($D$10=0,"",D8/$D$10)</f>
        <v>0.2</v>
      </c>
      <c r="F8" s="30" t="n">
        <f aca="false">IF(E8="","",ROUND((E8-C8)*100,1))</f>
        <v>0</v>
      </c>
    </row>
    <row r="9" customFormat="false" ht="15" hidden="false" customHeight="false" outlineLevel="0" collapsed="false">
      <c r="B9" s="33" t="str">
        <f aca="false">Рубрики!B14</f>
        <v>Продажі</v>
      </c>
      <c r="C9" s="28" t="n">
        <f aca="false">Рубрики!C14</f>
        <v>0.15</v>
      </c>
      <c r="D9" s="29" t="n">
        <f aca="false">COUNTIFS('Контент-план'!$D$5:$D$204,B9,'Контент-план'!$A$5:$A$204,"&gt;="&amp;MonthStart,'Контент-план'!$A$5:$A$204,"&lt;="&amp;MonthEnd)</f>
        <v>3</v>
      </c>
      <c r="E9" s="28" t="n">
        <f aca="false">IF($D$10=0,"",D9/$D$10)</f>
        <v>0.15</v>
      </c>
      <c r="F9" s="30" t="n">
        <f aca="false">IF(E9="","",ROUND((E9-C9)*100,1))</f>
        <v>0</v>
      </c>
    </row>
    <row r="10" customFormat="false" ht="15" hidden="false" customHeight="false" outlineLevel="0" collapsed="false">
      <c r="B10" s="34" t="s">
        <v>107</v>
      </c>
      <c r="C10" s="35" t="n">
        <f aca="false">SUM(C6:C9)</f>
        <v>1</v>
      </c>
      <c r="D10" s="3" t="n">
        <f aca="false">SUM(D6:D9)</f>
        <v>20</v>
      </c>
      <c r="E10" s="35" t="n">
        <f aca="false">IF(D10=0,"",SUM(E6:E9))</f>
        <v>1</v>
      </c>
      <c r="F10" s="3"/>
    </row>
    <row r="12" customFormat="false" ht="15" hidden="false" customHeight="false" outlineLevel="0" collapsed="false">
      <c r="B12" s="26" t="s">
        <v>108</v>
      </c>
      <c r="D12" s="26" t="s">
        <v>109</v>
      </c>
    </row>
    <row r="13" customFormat="false" ht="15" hidden="false" customHeight="false" outlineLevel="0" collapsed="false">
      <c r="B13" s="3" t="s">
        <v>4</v>
      </c>
      <c r="C13" s="3" t="s">
        <v>104</v>
      </c>
      <c r="D13" s="3" t="s">
        <v>9</v>
      </c>
      <c r="E13" s="3" t="s">
        <v>104</v>
      </c>
    </row>
    <row r="14" customFormat="false" ht="15" hidden="false" customHeight="false" outlineLevel="0" collapsed="false">
      <c r="B14" s="36" t="str">
        <f aca="false">Рубрики!C19</f>
        <v>Instagram</v>
      </c>
      <c r="C14" s="29" t="n">
        <f aca="false">COUNTIFS('Контент-план'!$C$5:$C$204,B14,'Контент-план'!$A$5:$A$204,"&gt;="&amp;MonthStart,'Контент-план'!$A$5:$A$204,"&lt;="&amp;MonthEnd)</f>
        <v>6</v>
      </c>
      <c r="D14" s="37" t="str">
        <f aca="false">Рубрики!D19</f>
        <v>Ідея</v>
      </c>
      <c r="E14" s="29" t="n">
        <f aca="false">COUNTIFS('Контент-план'!$H$5:$H$204,D14,'Контент-план'!$A$5:$A$204,"&gt;="&amp;MonthStart,'Контент-план'!$A$5:$A$204,"&lt;="&amp;MonthEnd)</f>
        <v>12</v>
      </c>
    </row>
    <row r="15" customFormat="false" ht="15" hidden="false" customHeight="false" outlineLevel="0" collapsed="false">
      <c r="B15" s="36" t="str">
        <f aca="false">Рубрики!C20</f>
        <v>Facebook</v>
      </c>
      <c r="C15" s="29" t="n">
        <f aca="false">COUNTIFS('Контент-план'!$C$5:$C$204,B15,'Контент-план'!$A$5:$A$204,"&gt;="&amp;MonthStart,'Контент-план'!$A$5:$A$204,"&lt;="&amp;MonthEnd)</f>
        <v>4</v>
      </c>
      <c r="D15" s="38" t="str">
        <f aca="false">Рубрики!D20</f>
        <v>У роботі</v>
      </c>
      <c r="E15" s="29" t="n">
        <f aca="false">COUNTIFS('Контент-план'!$H$5:$H$204,D15,'Контент-план'!$A$5:$A$204,"&gt;="&amp;MonthStart,'Контент-план'!$A$5:$A$204,"&lt;="&amp;MonthEnd)</f>
        <v>4</v>
      </c>
    </row>
    <row r="16" customFormat="false" ht="15" hidden="false" customHeight="false" outlineLevel="0" collapsed="false">
      <c r="B16" s="36" t="str">
        <f aca="false">Рубрики!C21</f>
        <v>TikTok / Reels</v>
      </c>
      <c r="C16" s="29" t="n">
        <f aca="false">COUNTIFS('Контент-план'!$C$5:$C$204,B16,'Контент-план'!$A$5:$A$204,"&gt;="&amp;MonthStart,'Контент-план'!$A$5:$A$204,"&lt;="&amp;MonthEnd)</f>
        <v>4</v>
      </c>
      <c r="D16" s="39" t="str">
        <f aca="false">Рубрики!D21</f>
        <v>На перевірці</v>
      </c>
      <c r="E16" s="29" t="n">
        <f aca="false">COUNTIFS('Контент-план'!$H$5:$H$204,D16,'Контент-план'!$A$5:$A$204,"&gt;="&amp;MonthStart,'Контент-план'!$A$5:$A$204,"&lt;="&amp;MonthEnd)</f>
        <v>2</v>
      </c>
    </row>
    <row r="17" customFormat="false" ht="15" hidden="false" customHeight="false" outlineLevel="0" collapsed="false">
      <c r="B17" s="36" t="str">
        <f aca="false">Рубрики!C22</f>
        <v>Telegram</v>
      </c>
      <c r="C17" s="29" t="n">
        <f aca="false">COUNTIFS('Контент-план'!$C$5:$C$204,B17,'Контент-план'!$A$5:$A$204,"&gt;="&amp;MonthStart,'Контент-план'!$A$5:$A$204,"&lt;="&amp;MonthEnd)</f>
        <v>4</v>
      </c>
      <c r="D17" s="31" t="str">
        <f aca="false">Рубрики!D22</f>
        <v>Заплановано</v>
      </c>
      <c r="E17" s="29" t="n">
        <f aca="false">COUNTIFS('Контент-план'!$H$5:$H$204,D17,'Контент-план'!$A$5:$A$204,"&gt;="&amp;MonthStart,'Контент-план'!$A$5:$A$204,"&lt;="&amp;MonthEnd)</f>
        <v>2</v>
      </c>
    </row>
    <row r="18" customFormat="false" ht="15" hidden="false" customHeight="false" outlineLevel="0" collapsed="false">
      <c r="B18" s="36" t="str">
        <f aca="false">Рубрики!C23</f>
        <v>LinkedIn</v>
      </c>
      <c r="C18" s="29" t="n">
        <f aca="false">COUNTIFS('Контент-план'!$C$5:$C$204,B18,'Контент-план'!$A$5:$A$204,"&gt;="&amp;MonthStart,'Контент-план'!$A$5:$A$204,"&lt;="&amp;MonthEnd)</f>
        <v>2</v>
      </c>
      <c r="D18" s="40" t="str">
        <f aca="false">Рубрики!D23</f>
        <v>Опубліковано</v>
      </c>
      <c r="E18" s="29" t="n">
        <f aca="false">COUNTIFS('Контент-план'!$H$5:$H$204,D18,'Контент-план'!$A$5:$A$204,"&gt;="&amp;MonthStart,'Контент-план'!$A$5:$A$204,"&lt;="&amp;MonthEnd)</f>
        <v>0</v>
      </c>
    </row>
    <row r="19" customFormat="false" ht="15" hidden="false" customHeight="false" outlineLevel="0" collapsed="false">
      <c r="B19" s="34" t="s">
        <v>107</v>
      </c>
      <c r="C19" s="3" t="n">
        <f aca="false">SUM(C14:C18)</f>
        <v>20</v>
      </c>
      <c r="D19" s="34" t="s">
        <v>107</v>
      </c>
      <c r="E19" s="3" t="n">
        <f aca="false">SUM(E14:E18)</f>
        <v>20</v>
      </c>
    </row>
    <row r="21" customFormat="false" ht="15" hidden="false" customHeight="false" outlineLevel="0" collapsed="false">
      <c r="B21" s="26" t="s">
        <v>110</v>
      </c>
    </row>
    <row r="22" customFormat="false" ht="15" hidden="false" customHeight="true" outlineLevel="0" collapsed="false">
      <c r="B22" s="3" t="s">
        <v>111</v>
      </c>
      <c r="C22" s="3" t="s">
        <v>112</v>
      </c>
      <c r="D22" s="3"/>
      <c r="E22" s="3" t="s">
        <v>113</v>
      </c>
      <c r="F22" s="3"/>
    </row>
    <row r="23" customFormat="false" ht="42" hidden="false" customHeight="true" outlineLevel="0" collapsed="false">
      <c r="B23" s="41" t="s">
        <v>114</v>
      </c>
      <c r="C23" s="42" t="s">
        <v>115</v>
      </c>
      <c r="D23" s="42"/>
      <c r="E23" s="42" t="s">
        <v>116</v>
      </c>
      <c r="F23" s="42"/>
    </row>
    <row r="24" customFormat="false" ht="42" hidden="false" customHeight="true" outlineLevel="0" collapsed="false">
      <c r="B24" s="41" t="s">
        <v>117</v>
      </c>
      <c r="C24" s="42" t="s">
        <v>118</v>
      </c>
      <c r="D24" s="42"/>
      <c r="E24" s="42" t="s">
        <v>119</v>
      </c>
      <c r="F24" s="42"/>
    </row>
    <row r="25" customFormat="false" ht="42" hidden="false" customHeight="true" outlineLevel="0" collapsed="false">
      <c r="B25" s="41" t="s">
        <v>120</v>
      </c>
      <c r="C25" s="42" t="s">
        <v>121</v>
      </c>
      <c r="D25" s="42"/>
      <c r="E25" s="42" t="s">
        <v>122</v>
      </c>
      <c r="F25" s="42"/>
    </row>
    <row r="26" customFormat="false" ht="42" hidden="false" customHeight="true" outlineLevel="0" collapsed="false">
      <c r="B26" s="41" t="s">
        <v>123</v>
      </c>
      <c r="C26" s="42" t="s">
        <v>124</v>
      </c>
      <c r="D26" s="42"/>
      <c r="E26" s="42" t="s">
        <v>125</v>
      </c>
      <c r="F26" s="42"/>
    </row>
    <row r="27" customFormat="false" ht="42" hidden="false" customHeight="true" outlineLevel="0" collapsed="false">
      <c r="B27" s="41" t="s">
        <v>126</v>
      </c>
      <c r="C27" s="42" t="s">
        <v>127</v>
      </c>
      <c r="D27" s="42"/>
      <c r="E27" s="42" t="s">
        <v>128</v>
      </c>
      <c r="F27" s="42"/>
    </row>
    <row r="28" customFormat="false" ht="15" hidden="false" customHeight="false" outlineLevel="0" collapsed="false">
      <c r="B28" s="8" t="s">
        <v>129</v>
      </c>
    </row>
  </sheetData>
  <sheetProtection sheet="true"/>
  <mergeCells count="12"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131</v>
      </c>
    </row>
    <row r="4" customFormat="false" ht="15" hidden="false" customHeight="false" outlineLevel="0" collapsed="false">
      <c r="B4" s="43" t="s">
        <v>132</v>
      </c>
      <c r="C4" s="44" t="n">
        <v>11</v>
      </c>
    </row>
    <row r="5" customFormat="false" ht="15" hidden="false" customHeight="false" outlineLevel="0" collapsed="false">
      <c r="B5" s="43" t="s">
        <v>133</v>
      </c>
      <c r="C5" s="44" t="n">
        <v>2026</v>
      </c>
    </row>
    <row r="6" customFormat="false" ht="15" hidden="false" customHeight="false" outlineLevel="0" collapsed="false">
      <c r="B6" s="43" t="s">
        <v>134</v>
      </c>
      <c r="C6" s="45" t="n">
        <f aca="false">DATE(SelYear,SelMonth,1)</f>
        <v>46327</v>
      </c>
    </row>
    <row r="7" customFormat="false" ht="15" hidden="false" customHeight="false" outlineLevel="0" collapsed="false">
      <c r="B7" s="43" t="s">
        <v>135</v>
      </c>
      <c r="C7" s="45" t="n">
        <f aca="false">DATE(SelYear,SelMonth+1,0)</f>
        <v>46356</v>
      </c>
    </row>
    <row r="8" customFormat="false" ht="15" hidden="false" customHeight="false" outlineLevel="0" collapsed="false">
      <c r="B8" s="43" t="s">
        <v>136</v>
      </c>
      <c r="C8" s="45" t="n">
        <f aca="false">C6-WEEKDAY(C6,2)+1</f>
        <v>46321</v>
      </c>
    </row>
    <row r="10" customFormat="false" ht="15" hidden="false" customHeight="false" outlineLevel="0" collapsed="false">
      <c r="B10" s="3" t="s">
        <v>5</v>
      </c>
      <c r="C10" s="3" t="s">
        <v>137</v>
      </c>
      <c r="D10" s="3" t="s">
        <v>138</v>
      </c>
      <c r="E10" s="3" t="s">
        <v>139</v>
      </c>
    </row>
    <row r="11" customFormat="false" ht="19.5" hidden="false" customHeight="true" outlineLevel="0" collapsed="false">
      <c r="B11" s="46" t="s">
        <v>11</v>
      </c>
      <c r="C11" s="47" t="n">
        <v>0.4</v>
      </c>
      <c r="D11" s="48" t="s">
        <v>140</v>
      </c>
      <c r="E11" s="46" t="s">
        <v>12</v>
      </c>
    </row>
    <row r="12" customFormat="false" ht="19.5" hidden="false" customHeight="true" outlineLevel="0" collapsed="false">
      <c r="B12" s="46" t="s">
        <v>27</v>
      </c>
      <c r="C12" s="47" t="n">
        <v>0.25</v>
      </c>
      <c r="D12" s="49" t="s">
        <v>141</v>
      </c>
      <c r="E12" s="46" t="s">
        <v>28</v>
      </c>
    </row>
    <row r="13" customFormat="false" ht="19.5" hidden="false" customHeight="true" outlineLevel="0" collapsed="false">
      <c r="B13" s="46" t="s">
        <v>21</v>
      </c>
      <c r="C13" s="47" t="n">
        <v>0.2</v>
      </c>
      <c r="D13" s="50" t="s">
        <v>142</v>
      </c>
      <c r="E13" s="46" t="s">
        <v>22</v>
      </c>
    </row>
    <row r="14" customFormat="false" ht="19.5" hidden="false" customHeight="true" outlineLevel="0" collapsed="false">
      <c r="B14" s="46" t="s">
        <v>40</v>
      </c>
      <c r="C14" s="47" t="n">
        <v>0.15</v>
      </c>
      <c r="D14" s="51" t="s">
        <v>143</v>
      </c>
      <c r="E14" s="46" t="s">
        <v>144</v>
      </c>
    </row>
    <row r="15" customFormat="false" ht="15" hidden="false" customHeight="false" outlineLevel="0" collapsed="false">
      <c r="B15" s="43" t="s">
        <v>107</v>
      </c>
      <c r="C15" s="35" t="n">
        <f aca="false">SUM(C11:C14)</f>
        <v>1</v>
      </c>
    </row>
    <row r="16" customFormat="false" ht="15" hidden="false" customHeight="false" outlineLevel="0" collapsed="false">
      <c r="B16" s="8" t="s">
        <v>145</v>
      </c>
    </row>
    <row r="18" customFormat="false" ht="15" hidden="false" customHeight="false" outlineLevel="0" collapsed="false">
      <c r="B18" s="3" t="s">
        <v>7</v>
      </c>
      <c r="C18" s="3" t="s">
        <v>4</v>
      </c>
      <c r="D18" s="3" t="s">
        <v>9</v>
      </c>
    </row>
    <row r="19" customFormat="false" ht="15" hidden="false" customHeight="false" outlineLevel="0" collapsed="false">
      <c r="B19" s="46" t="s">
        <v>13</v>
      </c>
      <c r="C19" s="37" t="str">
        <f aca="false">Канали!A5</f>
        <v>Instagram</v>
      </c>
      <c r="D19" s="46" t="s">
        <v>25</v>
      </c>
    </row>
    <row r="20" customFormat="false" ht="15" hidden="false" customHeight="false" outlineLevel="0" collapsed="false">
      <c r="B20" s="46" t="s">
        <v>18</v>
      </c>
      <c r="C20" s="37" t="str">
        <f aca="false">Канали!A6</f>
        <v>Facebook</v>
      </c>
      <c r="D20" s="46" t="s">
        <v>19</v>
      </c>
    </row>
    <row r="21" customFormat="false" ht="15" hidden="false" customHeight="false" outlineLevel="0" collapsed="false">
      <c r="B21" s="46" t="s">
        <v>23</v>
      </c>
      <c r="C21" s="37" t="str">
        <f aca="false">Канали!A7</f>
        <v>TikTok / Reels</v>
      </c>
      <c r="D21" s="46" t="s">
        <v>15</v>
      </c>
    </row>
    <row r="22" customFormat="false" ht="15" hidden="false" customHeight="false" outlineLevel="0" collapsed="false">
      <c r="B22" s="46" t="s">
        <v>29</v>
      </c>
      <c r="C22" s="37" t="str">
        <f aca="false">Канали!A8</f>
        <v>Telegram</v>
      </c>
      <c r="D22" s="46" t="s">
        <v>30</v>
      </c>
    </row>
    <row r="23" customFormat="false" ht="15" hidden="false" customHeight="false" outlineLevel="0" collapsed="false">
      <c r="C23" s="37" t="str">
        <f aca="false">Канали!A9</f>
        <v>LinkedIn</v>
      </c>
      <c r="D23" s="46" t="s">
        <v>146</v>
      </c>
    </row>
    <row r="24" customFormat="false" ht="15" hidden="false" customHeight="false" outlineLevel="0" collapsed="false">
      <c r="B24" s="8" t="s">
        <v>147</v>
      </c>
    </row>
    <row r="26" customFormat="false" ht="15" hidden="false" customHeight="false" outlineLevel="0" collapsed="false">
      <c r="B26" s="8" t="s">
        <v>65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"2025,2026,2027,2028,2029"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2026-10-24T18:46:17Z</dcterms:created>
  <dc:creator>openpyxl</dc:creator>
  <dc:description/>
  <dc:language>vi-VN</dc:language>
  <cp:lastModifiedBy/>
  <dcterms:modified xsi:type="dcterms:W3CDTF">2026-10-24T18:46:17Z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