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Žiniaraštis" sheetId="1" state="visible" r:id="rId3"/>
    <sheet name="Žymėjimai" sheetId="2" state="visible" r:id="rId4"/>
    <sheet name="Koeficientai" sheetId="3" state="visible" r:id="rId5"/>
    <sheet name="Kontrolė" sheetId="4" state="visible" r:id="rId6"/>
    <sheet name="Korekcijos" sheetId="5" state="visible" r:id="rId7"/>
  </sheets>
  <definedNames>
    <definedName function="false" hidden="false" localSheetId="2" name="_xlnm.Print_Area" vbProcedure="false">Koeficientai!$A$1:$L$23</definedName>
    <definedName function="false" hidden="false" localSheetId="3" name="_xlnm.Print_Area" vbProcedure="false">Kontrolė!$A$1:$N$39</definedName>
    <definedName function="false" hidden="false" localSheetId="4" name="_xlnm.Print_Area" vbProcedure="false">Korekcijos!$A$1:$G$43</definedName>
    <definedName function="false" hidden="false" localSheetId="1" name="_xlnm.Print_Area" vbProcedure="false">Žymėjimai!$A$1:$E$38</definedName>
    <definedName function="false" hidden="false" localSheetId="0" name="_xlnm.Print_Area" vbProcedure="false">Žiniaraštis!$A$1:$L$47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<sst xmlns="http://schemas.openxmlformats.org/spreadsheetml/2006/main" count="216" uniqueCount="165">
  <si>
    <t xml:space="preserve">Darbo laiko apskaitos žiniaraštis</t>
  </si>
  <si>
    <t xml:space="preserve">Hipotetinis pavyzdys — orova.vn</t>
  </si>
  <si>
    <t xml:space="preserve">Darbdavys:</t>
  </si>
  <si>
    <t xml:space="preserve">UAB „Pavyzdys“</t>
  </si>
  <si>
    <t xml:space="preserve">Nakties laikas nuo:</t>
  </si>
  <si>
    <t xml:space="preserve">įrašykite pagal DK –</t>
  </si>
  <si>
    <t xml:space="preserve">Darbuotojas:</t>
  </si>
  <si>
    <t xml:space="preserve">Rūta Petrauskienė</t>
  </si>
  <si>
    <t xml:space="preserve">Nakties laikas iki:</t>
  </si>
  <si>
    <t xml:space="preserve">tuščia = naktinės valandos 0</t>
  </si>
  <si>
    <t xml:space="preserve">Mėnuo:</t>
  </si>
  <si>
    <t xml:space="preserve">Darbo laiko režimas:</t>
  </si>
  <si>
    <t xml:space="preserve">Suminė apskaita</t>
  </si>
  <si>
    <t xml:space="preserve">Režimą pasirinkite sąraše; žymėjimai – lape Žymėjimai.</t>
  </si>
  <si>
    <t xml:space="preserve">Data</t>
  </si>
  <si>
    <t xml:space="preserve">Savaitės
diena</t>
  </si>
  <si>
    <t xml:space="preserve">Pradžia</t>
  </si>
  <si>
    <t xml:space="preserve">Pabaiga</t>
  </si>
  <si>
    <t xml:space="preserve">Pertrauka
(min.)</t>
  </si>
  <si>
    <t xml:space="preserve">Faktiškai
dirbta (val.)</t>
  </si>
  <si>
    <t xml:space="preserve">Iš jų
naktį</t>
  </si>
  <si>
    <t xml:space="preserve">Viršvalan-
džiai</t>
  </si>
  <si>
    <t xml:space="preserve">Darbas
poilsio dieną</t>
  </si>
  <si>
    <t xml:space="preserve">Darbas
švenčių dieną</t>
  </si>
  <si>
    <t xml:space="preserve">Žymė-
jimas</t>
  </si>
  <si>
    <t xml:space="preserve">Pastaba</t>
  </si>
  <si>
    <t xml:space="preserve">FD</t>
  </si>
  <si>
    <t xml:space="preserve">ŠD</t>
  </si>
  <si>
    <t xml:space="preserve">Darbas švenčių dieną pagal grafiką</t>
  </si>
  <si>
    <t xml:space="preserve">Pataisyta 08:35 → 08:00, žr. lapą Korekcijos</t>
  </si>
  <si>
    <t xml:space="preserve">DP</t>
  </si>
  <si>
    <t xml:space="preserve">Darbas poilsio dieną (šeštadienis) pagal grafiką</t>
  </si>
  <si>
    <t xml:space="preserve">Vakarinė pamaina</t>
  </si>
  <si>
    <t xml:space="preserve">Poilsis po vakarinės pamainos 8,5 val. – žr. Kontrolė</t>
  </si>
  <si>
    <t xml:space="preserve">Pamaina per vidurnaktį (baigiasi 03-21 02:00)</t>
  </si>
  <si>
    <t xml:space="preserve">K</t>
  </si>
  <si>
    <t xml:space="preserve">Komandiruotė į Kauną; pabaiga pataisyta, žr. Korekcijos</t>
  </si>
  <si>
    <t xml:space="preserve">A</t>
  </si>
  <si>
    <t xml:space="preserve">Kasmetinės atostogos (įsakymas)</t>
  </si>
  <si>
    <t xml:space="preserve">Iš viso per mėnesį</t>
  </si>
  <si>
    <t xml:space="preserve">← dienų su dirbtomis valandomis</t>
  </si>
  <si>
    <t xml:space="preserve">Faktiškai dirbta = ROUND(MOD(Pabaiga − Pradžia; 1) × 24 − Pertrauka/60; 2). Pamaina per vidurnaktį skaičiuojama teisingai (24:00 rašykite 00:00).</t>
  </si>
  <si>
    <t xml:space="preserve">Iš jų naktį = Pradžia–Pabaiga dalis, patenkanti į nakties laiką (I2–I3, pertrauka neatimama). Kol I2–I3 tušti, rodoma 0.</t>
  </si>
  <si>
    <t xml:space="preserve">Darbas poilsio dieną = valandos, kai Žymėjimas DP; darbas švenčių dieną = valandos, kai data yra švenčių sąraše (lapas Žymėjimai) arba Žymėjimas ŠD.</t>
  </si>
  <si>
    <t xml:space="preserve">Viršvalandžius įrašykite ranka pagal vadovo nurodymą; suminės apskaitos atveju jie nustatomi apskaitinio laikotarpio pabaigoje (lapas Koeficientai).</t>
  </si>
  <si>
    <t xml:space="preserve">Geltona = pildoma; pilka = skaičiuojama (užrakinta be slaptažodžio). Senos reikšmės netaisykite tyliai – įrašykite į lapą Korekcijos.</t>
  </si>
  <si>
    <t xml:space="preserve">Failas skaičiuoja tik valandas: atlyginimas ir mokesčiai skaičiuojami jūsų algų sistemoje. Pasitikrinkite aktualią DK redakciją (e-tar.lt).</t>
  </si>
  <si>
    <t xml:space="preserve">Žymėjimai ir švenčių dienos</t>
  </si>
  <si>
    <t xml:space="preserve">Įmonės pasirinkti ženklai – aprašykite juos apskaitos tvarkoje ir taikykite vienodai. Galite pakeisti savais.</t>
  </si>
  <si>
    <t xml:space="preserve">Kodas</t>
  </si>
  <si>
    <t xml:space="preserve">Reikšmė</t>
  </si>
  <si>
    <t xml:space="preserve">Įskaitoma į
faktiškai dirbtą</t>
  </si>
  <si>
    <t xml:space="preserve">Dienų šį
mėnesį</t>
  </si>
  <si>
    <t xml:space="preserve">Faktiškai dirbtas laikas</t>
  </si>
  <si>
    <t xml:space="preserve">Taip</t>
  </si>
  <si>
    <t xml:space="preserve">V</t>
  </si>
  <si>
    <t xml:space="preserve">Viršvalandžiai</t>
  </si>
  <si>
    <t xml:space="preserve">N</t>
  </si>
  <si>
    <t xml:space="preserve">Darbas naktį</t>
  </si>
  <si>
    <t xml:space="preserve">Darbas poilsio dieną</t>
  </si>
  <si>
    <t xml:space="preserve">Darbas švenčių dieną</t>
  </si>
  <si>
    <t xml:space="preserve">Kasmetinės atostogos</t>
  </si>
  <si>
    <t xml:space="preserve">Ne</t>
  </si>
  <si>
    <t xml:space="preserve">L</t>
  </si>
  <si>
    <t xml:space="preserve">Nedarbingumas dėl ligos</t>
  </si>
  <si>
    <t xml:space="preserve">NA</t>
  </si>
  <si>
    <t xml:space="preserve">Neatvykimas administracijai leidus</t>
  </si>
  <si>
    <t xml:space="preserve">Komandiruotė</t>
  </si>
  <si>
    <t xml:space="preserve">Taip, jei dirbta</t>
  </si>
  <si>
    <t xml:space="preserve">Švenčių dienos (įrašykite patys pagal DK – sąrašas automatiškai nepildomas)</t>
  </si>
  <si>
    <t xml:space="preserve">Pavadinimas / pastaba</t>
  </si>
  <si>
    <t xml:space="preserve">Pavyzdys: kovo 11-oji – sąrašą pasitikrinkite DK</t>
  </si>
  <si>
    <t xml:space="preserve">Žiniaraštyje Žymėjimas pasirenkamas iš šio sąrašo (A4:A12). Pakeitus kodą čia, sąrašas atsinaujina.</t>
  </si>
  <si>
    <t xml:space="preserve">Data iš švenčių sąrašo žiniaraštyje nuspalvinama ir jos valandos patenka į skiltį „Darbas švenčių dieną“.</t>
  </si>
  <si>
    <t xml:space="preserve">Koeficientai ir apmokėtinos valandos</t>
  </si>
  <si>
    <t xml:space="preserve">Naktinio darbo priedas:</t>
  </si>
  <si>
    <t xml:space="preserve">pagal DK ar kolektyvinę sutartį — įrašykite</t>
  </si>
  <si>
    <t xml:space="preserve">Poilsio dienos priedas:</t>
  </si>
  <si>
    <t xml:space="preserve">Švenčių dienos priedas:</t>
  </si>
  <si>
    <t xml:space="preserve">Viršvalandžių priedas:</t>
  </si>
  <si>
    <t xml:space="preserve">Priedas – dalis, kuria didinamas valandinis tarifas. Tuščias langelis laikomas 0, todėl rodomos tik faktinės valandos.</t>
  </si>
  <si>
    <t xml:space="preserve">Hipotetinis pavyzdys (darbuotojai išgalvoti)</t>
  </si>
  <si>
    <t xml:space="preserve">Darbuotojas</t>
  </si>
  <si>
    <t xml:space="preserve">Pamainos tipas</t>
  </si>
  <si>
    <t xml:space="preserve">Faktinės
valandos</t>
  </si>
  <si>
    <t xml:space="preserve">Iš jų poilsio
dieną</t>
  </si>
  <si>
    <t xml:space="preserve">Iš jų švenčių
dieną</t>
  </si>
  <si>
    <t xml:space="preserve">Apmokėtinos
valandos</t>
  </si>
  <si>
    <t xml:space="preserve">Darbuotojas A (Tomas Kazlauskas)</t>
  </si>
  <si>
    <t xml:space="preserve">Dieninė pamaina</t>
  </si>
  <si>
    <t xml:space="preserve">Darbuotojas B (Eglė Jankauskaitė)</t>
  </si>
  <si>
    <t xml:space="preserve">Pamaina per vidurnaktį</t>
  </si>
  <si>
    <t xml:space="preserve">Darbuotojas C (Rūta Petrauskienė)</t>
  </si>
  <si>
    <t xml:space="preserve">Darbas poilsio dieną (šeštadienį)</t>
  </si>
  <si>
    <t xml:space="preserve">Rūta Petrauskienė – visas mėnuo</t>
  </si>
  <si>
    <t xml:space="preserve">Iš lapo Žiniaraštis</t>
  </si>
  <si>
    <t xml:space="preserve">Apmokėtinos valandos = Faktinės + Naktinės × naktinio darbo priedas + Poilsio dienos val. × poilsio dienos priedas + Švenčių dienos val. × švenčių dienos priedas + Viršvalandžiai × viršvalandžių priedas.</t>
  </si>
  <si>
    <t xml:space="preserve">Suminė darbo laiko apskaita – balansas (hipotetinis pavyzdys)</t>
  </si>
  <si>
    <t xml:space="preserve">Faktinės valandos (Žiniaraštis):</t>
  </si>
  <si>
    <t xml:space="preserve">Norma pagal grafiką (val.):</t>
  </si>
  <si>
    <t xml:space="preserve">21 darbo diena × 8 val. (03-11 – švenčių diena)</t>
  </si>
  <si>
    <t xml:space="preserve">Balansas = Faktinės − Norma:</t>
  </si>
  <si>
    <t xml:space="preserve">Teigiamas balansas – valandos virš normos; ar tai viršvalandžiai, nustatoma apskaitinio laikotarpio pabaigoje pagal DK.</t>
  </si>
  <si>
    <t xml:space="preserve">Failas skaičiuoja tik valandas. Atlyginimą ir mokesčius skaičiuoja algų sistema.</t>
  </si>
  <si>
    <t xml:space="preserve">Kontrolė prieš užrakinant žiniaraštį</t>
  </si>
  <si>
    <t xml:space="preserve">Didžiausias vidutinis laikas per 7 dienas (val.):</t>
  </si>
  <si>
    <t xml:space="preserve">Direktyvos 2003/88/EB 6 str.</t>
  </si>
  <si>
    <t xml:space="preserve">Paros poilsis ne mažiau kaip (val.):</t>
  </si>
  <si>
    <t xml:space="preserve">Direktyvos 2003/88/EB 3 str.</t>
  </si>
  <si>
    <t xml:space="preserve">Savaitės poilsis ne mažiau kaip (val.):</t>
  </si>
  <si>
    <t xml:space="preserve">+ paros poilsis = 35 val. (5 str.)</t>
  </si>
  <si>
    <t xml:space="preserve">Paros poilsis</t>
  </si>
  <si>
    <t xml:space="preserve">Savaitės (pirmadienis–sekmadienis)</t>
  </si>
  <si>
    <t xml:space="preserve">Diena</t>
  </si>
  <si>
    <t xml:space="preserve">Ankstesnės
pamainos pabaiga</t>
  </si>
  <si>
    <t xml:space="preserve">Paros
poilsis (val.)</t>
  </si>
  <si>
    <t xml:space="preserve">Savaitė
nuo</t>
  </si>
  <si>
    <t xml:space="preserve">Savaitė
iki</t>
  </si>
  <si>
    <t xml:space="preserve">Valandų
per savaitę</t>
  </si>
  <si>
    <t xml:space="preserve">Ilgiausias
poilsis (val.)</t>
  </si>
  <si>
    <t xml:space="preserve">Poilsis
≥ 24 + 11 val.</t>
  </si>
  <si>
    <t xml:space="preserve">Vidurkis per 7 dienas (mėnuo):</t>
  </si>
  <si>
    <t xml:space="preserve">Savaitė virš 48 val. pažymima geltonai; raudonai – kai viršijamas vidurkis.</t>
  </si>
  <si>
    <t xml:space="preserve">7 punktų kontrolinis sąrašas</t>
  </si>
  <si>
    <t xml:space="preserve">Punktas</t>
  </si>
  <si>
    <t xml:space="preserve">Ką tikrinti</t>
  </si>
  <si>
    <t xml:space="preserve">Duomenys faile</t>
  </si>
  <si>
    <t xml:space="preserve">Patikrinta
(Taip/Ne)</t>
  </si>
  <si>
    <t xml:space="preserve">1. 48 val.</t>
  </si>
  <si>
    <t xml:space="preserve">Vidutinis laikas per 7 dienas su viršvalandžiais</t>
  </si>
  <si>
    <t xml:space="preserve">2. 11 val.</t>
  </si>
  <si>
    <t xml:space="preserve">Paros nepertraukiamas poilsis</t>
  </si>
  <si>
    <t xml:space="preserve">3. 24 + 11 val.</t>
  </si>
  <si>
    <t xml:space="preserve">Savaitės nepertraukiamas poilsis</t>
  </si>
  <si>
    <t xml:space="preserve">4. Atostogos</t>
  </si>
  <si>
    <t xml:space="preserve">Žymos A atitinka vadovo įsakymus</t>
  </si>
  <si>
    <t xml:space="preserve">5. Nedarbingumas</t>
  </si>
  <si>
    <t xml:space="preserve">Žymos L sutampa su „Sodros“ duomenimis</t>
  </si>
  <si>
    <t xml:space="preserve">6. Viršvalandžiai</t>
  </si>
  <si>
    <t xml:space="preserve">Suderintas kompensavimas pagal DK ir tvarką</t>
  </si>
  <si>
    <t xml:space="preserve">7. Korekcijos</t>
  </si>
  <si>
    <t xml:space="preserve">Visi taisymai patvirtinti ir turi įrašą</t>
  </si>
  <si>
    <t xml:space="preserve">Patikrino:</t>
  </si>
  <si>
    <t xml:space="preserve">Data:</t>
  </si>
  <si>
    <t xml:space="preserve">Būsena:</t>
  </si>
  <si>
    <t xml:space="preserve">Paros poilsis = nuo ankstesnės pamainos pabaigos iki šios pamainos pradžios (pirmą dieną – žr. praėjusį mėnesį).</t>
  </si>
  <si>
    <t xml:space="preserve">Ilgiausias poilsis savaitėje = didžiausias tarpas tarp pamainų, prasidedantis tą savaitę (pr. 00:00 – sk. 24:00).</t>
  </si>
  <si>
    <t xml:space="preserve">Ribos – ES Darbo laiko direktyvos 2003/88/EB minimumai; DK ir kolektyvinė sutartis gali nustatyti savas taisykles.</t>
  </si>
  <si>
    <t xml:space="preserve">Kai visi 7 punktai „Taip“ ir įrašyti tikrintojas bei data, būsena tampa „Užrakinta“: po to taisoma tik per lapą Korekcijos.</t>
  </si>
  <si>
    <t xml:space="preserve">Korekcijų žurnalas (audito seka)</t>
  </si>
  <si>
    <t xml:space="preserve">Kiekvienas pataisymas – nauja eilutė. Pirminės reikšmės neištrinkite; patvirtinimą įrašo vadovas.</t>
  </si>
  <si>
    <t xml:space="preserve">Pirminis
laikas</t>
  </si>
  <si>
    <t xml:space="preserve">Naujas
laikas</t>
  </si>
  <si>
    <t xml:space="preserve">Priežastis</t>
  </si>
  <si>
    <t xml:space="preserve">Patvirtino</t>
  </si>
  <si>
    <t xml:space="preserve">Patvirtinimo data
ir laikas</t>
  </si>
  <si>
    <t xml:space="preserve">Pradžia 08:35</t>
  </si>
  <si>
    <t xml:space="preserve">Pradžia 08:00</t>
  </si>
  <si>
    <t xml:space="preserve">Dėl biuro tinklo trikdžių prisijungė 08:35; atvykimą 08:00 patvirtina praėjimo kontrolės žurnalas Nr. 412</t>
  </si>
  <si>
    <t xml:space="preserve">J. Jonaitis</t>
  </si>
  <si>
    <t xml:space="preserve">Pabaiga 18:40</t>
  </si>
  <si>
    <t xml:space="preserve">Pabaiga 17:00</t>
  </si>
  <si>
    <t xml:space="preserve">Komandiruotėje pamiršo pažymėti išvykimą; laiką patvirtina komandiruotės ataskaita</t>
  </si>
  <si>
    <t xml:space="preserve">Raudonai – pataisymas be patvirtinimo. Lape Kontrolė (7 punktas) skaičiuojami tokie įrašai.</t>
  </si>
  <si>
    <t xml:space="preserve">Hipotetinis pavyzdys: vardai, laikas ir žurnalo numeris išgalvoti.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</si>
</sst>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hh\:mm"/>
    <numFmt numFmtId="167" formatCode="yyyy\-mm\-dd"/>
    <numFmt numFmtId="168" formatCode="0"/>
    <numFmt numFmtId="169" formatCode="0.00"/>
    <numFmt numFmtId="170" formatCode="0.00;\-0.00;;@"/>
    <numFmt numFmtId="171" formatCode="\+0.00;\-0.00;0.00"/>
    <numFmt numFmtId="172" formatCode="yyyy\-mm\-dd\ hh\:mm"/>
  </numFmts>
  <fonts count="13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b val="true"/>
      <i val="true"/>
      <sz val="9"/>
      <color rgb="FF9C0006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FF2A8"/>
        <bgColor rgb="FFF6EBD9"/>
      </patternFill>
    </fill>
    <fill>
      <patternFill patternType="solid">
        <fgColor rgb="FFF3F4F6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AECEF"/>
        <bgColor rgb="FFEEF2F7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9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9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F6EBD9"/>
        </patternFill>
      </fill>
    </dxf>
    <dxf>
      <fill>
        <patternFill>
          <bgColor rgb="FFD9DDE3"/>
        </patternFill>
      </fill>
    </dxf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ill>
        <patternFill>
          <bgColor rgb="FFFFF2A8"/>
        </patternFill>
      </fill>
    </dxf>
    <dxf>
      <font>
        <name val="Arial"/>
        <charset val="1"/>
        <family val="0"/>
        <b val="1"/>
        <color rgb="FF1E6B34"/>
        <sz val="10"/>
      </font>
    </dxf>
    <dxf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1E6B34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6EBD9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2A8"/>
      <rgbColor rgb="FFF3F4F6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8"/>
    <col collapsed="false" customWidth="true" hidden="false" outlineLevel="0" max="5" min="5" style="0" width="9"/>
    <col collapsed="false" customWidth="true" hidden="false" outlineLevel="0" max="6" min="6" style="0" width="10.51"/>
    <col collapsed="false" customWidth="true" hidden="false" outlineLevel="0" max="7" min="7" style="0" width="8"/>
    <col collapsed="false" customWidth="true" hidden="false" outlineLevel="0" max="8" min="8" style="0" width="9.51"/>
    <col collapsed="false" customWidth="true" hidden="false" outlineLevel="0" max="10" min="9" style="0" width="10"/>
    <col collapsed="false" customWidth="true" hidden="false" outlineLevel="0" max="11" min="11" style="0" width="7"/>
    <col collapsed="false" customWidth="true" hidden="false" outlineLevel="0" max="12" min="12" style="0" width="52"/>
  </cols>
  <sheetData>
    <row r="1" customFormat="false" ht="17.35" hidden="false" customHeight="false" outlineLevel="0" collapsed="false">
      <c r="A1" s="1" t="s">
        <v>0</v>
      </c>
      <c r="I1" s="2" t="s">
        <v>1</v>
      </c>
    </row>
    <row r="2" customFormat="false" ht="15" hidden="false" customHeight="false" outlineLevel="0" collapsed="false">
      <c r="A2" s="3" t="s">
        <v>2</v>
      </c>
      <c r="B2" s="3"/>
      <c r="C2" s="4" t="s">
        <v>3</v>
      </c>
      <c r="D2" s="4"/>
      <c r="E2" s="4"/>
      <c r="G2" s="3" t="s">
        <v>4</v>
      </c>
      <c r="H2" s="3"/>
      <c r="I2" s="5"/>
      <c r="J2" s="6" t="s">
        <v>5</v>
      </c>
    </row>
    <row r="3" customFormat="false" ht="15" hidden="false" customHeight="false" outlineLevel="0" collapsed="false">
      <c r="A3" s="3" t="s">
        <v>6</v>
      </c>
      <c r="B3" s="3"/>
      <c r="C3" s="4" t="s">
        <v>7</v>
      </c>
      <c r="D3" s="4"/>
      <c r="E3" s="4"/>
      <c r="G3" s="3" t="s">
        <v>8</v>
      </c>
      <c r="H3" s="3"/>
      <c r="I3" s="5"/>
      <c r="J3" s="7" t="s">
        <v>9</v>
      </c>
    </row>
    <row r="4" customFormat="false" ht="15" hidden="false" customHeight="false" outlineLevel="0" collapsed="false">
      <c r="A4" s="3" t="s">
        <v>10</v>
      </c>
      <c r="B4" s="3"/>
      <c r="C4" s="8" t="n">
        <v>46082</v>
      </c>
      <c r="D4" s="8"/>
      <c r="E4" s="8"/>
      <c r="F4" s="9" t="n">
        <f aca="false">EOMONTH(C4,0)</f>
        <v>46112</v>
      </c>
    </row>
    <row r="5" customFormat="false" ht="15" hidden="false" customHeight="false" outlineLevel="0" collapsed="false">
      <c r="A5" s="3" t="s">
        <v>11</v>
      </c>
      <c r="B5" s="3"/>
      <c r="C5" s="4" t="s">
        <v>12</v>
      </c>
      <c r="D5" s="4"/>
      <c r="E5" s="4"/>
      <c r="G5" s="7" t="s">
        <v>13</v>
      </c>
    </row>
    <row r="8" customFormat="false" ht="33.75" hidden="false" customHeight="true" outlineLevel="0" collapsed="false">
      <c r="A8" s="10" t="s">
        <v>14</v>
      </c>
      <c r="B8" s="10" t="s">
        <v>15</v>
      </c>
      <c r="C8" s="11" t="s">
        <v>16</v>
      </c>
      <c r="D8" s="11" t="s">
        <v>17</v>
      </c>
      <c r="E8" s="11" t="s">
        <v>18</v>
      </c>
      <c r="F8" s="10" t="s">
        <v>19</v>
      </c>
      <c r="G8" s="10" t="s">
        <v>20</v>
      </c>
      <c r="H8" s="11" t="s">
        <v>21</v>
      </c>
      <c r="I8" s="10" t="s">
        <v>22</v>
      </c>
      <c r="J8" s="10" t="s">
        <v>23</v>
      </c>
      <c r="K8" s="11" t="s">
        <v>24</v>
      </c>
      <c r="L8" s="11" t="s">
        <v>25</v>
      </c>
    </row>
    <row r="9" customFormat="false" ht="15" hidden="false" customHeight="false" outlineLevel="0" collapsed="false">
      <c r="A9" s="9" t="n">
        <f aca="false">C4</f>
        <v>46082</v>
      </c>
      <c r="B9" s="12" t="str">
        <f aca="false">IF(A9="","",CHOOSE(WEEKDAY(A9,2),"Pr","An","Tr","Kt","Pn","Št","Sk"))</f>
        <v>Sk</v>
      </c>
      <c r="C9" s="13"/>
      <c r="D9" s="13"/>
      <c r="E9" s="14"/>
      <c r="F9" s="15" t="str">
        <f aca="false">IF(OR(C9="",D9=""),"",ROUND(MOD(D9-C9,1)*24-N(E9)/60,2))</f>
        <v/>
      </c>
      <c r="G9" s="16" t="str">
        <f aca="false">IF(OR(C9="",D9=""),"",IF(OR($I$2="",$I$3=""),0,ROUND(24*IF($I$2&gt;$I$3,MAX(0,MIN((C9+MOD(D9-C9,1)),$I$3)-C9)+MAX(0,MIN((C9+MOD(D9-C9,1)),1+$I$3)-MAX(C9,$I$2))+MAX(0,(C9+MOD(D9-C9,1))-MAX(C9,1+$I$2)),MAX(0,MIN((C9+MOD(D9-C9,1)),$I$3)-MAX(C9,$I$2))+MAX(0,MIN((C9+MOD(D9-C9,1)),1+$I$3)-MAX(C9,1+$I$2))),2)))</f>
        <v/>
      </c>
      <c r="H9" s="17"/>
      <c r="I9" s="16" t="str">
        <f aca="false">IF(F9="","",IF(AND(K9="DP",N(J9)=0),F9,0))</f>
        <v/>
      </c>
      <c r="J9" s="16" t="str">
        <f aca="false">IF(F9="","",IF(OR(K9="ŠD",COUNTIF(Žymėjimai!$A$16:$A$35,A9)&gt;0),F9,0))</f>
        <v/>
      </c>
      <c r="K9" s="18"/>
      <c r="L9" s="19"/>
    </row>
    <row r="10" customFormat="false" ht="15" hidden="false" customHeight="false" outlineLevel="0" collapsed="false">
      <c r="A10" s="9" t="n">
        <f aca="false">IF(A9="","",IF(A9+1&gt;$F$4,"",A9+1))</f>
        <v>46083</v>
      </c>
      <c r="B10" s="12" t="str">
        <f aca="false">IF(A10="","",CHOOSE(WEEKDAY(A10,2),"Pr","An","Tr","Kt","Pn","Št","Sk"))</f>
        <v>Pr</v>
      </c>
      <c r="C10" s="13" t="n">
        <v>0.333333333333333</v>
      </c>
      <c r="D10" s="13" t="n">
        <v>0.708333333333333</v>
      </c>
      <c r="E10" s="14" t="n">
        <v>60</v>
      </c>
      <c r="F10" s="15" t="n">
        <f aca="false">IF(OR(C10="",D10=""),"",ROUND(MOD(D10-C10,1)*24-N(E10)/60,2))</f>
        <v>8</v>
      </c>
      <c r="G10" s="16" t="n">
        <f aca="false">IF(OR(C10="",D10=""),"",IF(OR($I$2="",$I$3=""),0,ROUND(24*IF($I$2&gt;$I$3,MAX(0,MIN((C10+MOD(D10-C10,1)),$I$3)-C10)+MAX(0,MIN((C10+MOD(D10-C10,1)),1+$I$3)-MAX(C10,$I$2))+MAX(0,(C10+MOD(D10-C10,1))-MAX(C10,1+$I$2)),MAX(0,MIN((C10+MOD(D10-C10,1)),$I$3)-MAX(C10,$I$2))+MAX(0,MIN((C10+MOD(D10-C10,1)),1+$I$3)-MAX(C10,1+$I$2))),2)))</f>
        <v>0</v>
      </c>
      <c r="H10" s="17"/>
      <c r="I10" s="16" t="n">
        <f aca="false">IF(F10="","",IF(AND(K10="DP",N(J10)=0),F10,0))</f>
        <v>0</v>
      </c>
      <c r="J10" s="16" t="n">
        <f aca="false">IF(F10="","",IF(OR(K10="ŠD",COUNTIF(Žymėjimai!$A$16:$A$35,A10)&gt;0),F10,0))</f>
        <v>0</v>
      </c>
      <c r="K10" s="18" t="s">
        <v>26</v>
      </c>
      <c r="L10" s="19"/>
    </row>
    <row r="11" customFormat="false" ht="15" hidden="false" customHeight="false" outlineLevel="0" collapsed="false">
      <c r="A11" s="9" t="n">
        <f aca="false">IF(A10="","",IF(A10+1&gt;$F$4,"",A10+1))</f>
        <v>46084</v>
      </c>
      <c r="B11" s="12" t="str">
        <f aca="false">IF(A11="","",CHOOSE(WEEKDAY(A11,2),"Pr","An","Tr","Kt","Pn","Št","Sk"))</f>
        <v>An</v>
      </c>
      <c r="C11" s="13" t="n">
        <v>0.333333333333333</v>
      </c>
      <c r="D11" s="13" t="n">
        <v>0.708333333333333</v>
      </c>
      <c r="E11" s="14" t="n">
        <v>60</v>
      </c>
      <c r="F11" s="15" t="n">
        <f aca="false">IF(OR(C11="",D11=""),"",ROUND(MOD(D11-C11,1)*24-N(E11)/60,2))</f>
        <v>8</v>
      </c>
      <c r="G11" s="16" t="n">
        <f aca="false">IF(OR(C11="",D11=""),"",IF(OR($I$2="",$I$3=""),0,ROUND(24*IF($I$2&gt;$I$3,MAX(0,MIN((C11+MOD(D11-C11,1)),$I$3)-C11)+MAX(0,MIN((C11+MOD(D11-C11,1)),1+$I$3)-MAX(C11,$I$2))+MAX(0,(C11+MOD(D11-C11,1))-MAX(C11,1+$I$2)),MAX(0,MIN((C11+MOD(D11-C11,1)),$I$3)-MAX(C11,$I$2))+MAX(0,MIN((C11+MOD(D11-C11,1)),1+$I$3)-MAX(C11,1+$I$2))),2)))</f>
        <v>0</v>
      </c>
      <c r="H11" s="17"/>
      <c r="I11" s="16" t="n">
        <f aca="false">IF(F11="","",IF(AND(K11="DP",N(J11)=0),F11,0))</f>
        <v>0</v>
      </c>
      <c r="J11" s="16" t="n">
        <f aca="false">IF(F11="","",IF(OR(K11="ŠD",COUNTIF(Žymėjimai!$A$16:$A$35,A11)&gt;0),F11,0))</f>
        <v>0</v>
      </c>
      <c r="K11" s="18" t="s">
        <v>26</v>
      </c>
      <c r="L11" s="19"/>
    </row>
    <row r="12" customFormat="false" ht="15" hidden="false" customHeight="false" outlineLevel="0" collapsed="false">
      <c r="A12" s="9" t="n">
        <f aca="false">IF(A11="","",IF(A11+1&gt;$F$4,"",A11+1))</f>
        <v>46085</v>
      </c>
      <c r="B12" s="12" t="str">
        <f aca="false">IF(A12="","",CHOOSE(WEEKDAY(A12,2),"Pr","An","Tr","Kt","Pn","Št","Sk"))</f>
        <v>Tr</v>
      </c>
      <c r="C12" s="13" t="n">
        <v>0.333333333333333</v>
      </c>
      <c r="D12" s="13" t="n">
        <v>0.708333333333333</v>
      </c>
      <c r="E12" s="14" t="n">
        <v>60</v>
      </c>
      <c r="F12" s="15" t="n">
        <f aca="false">IF(OR(C12="",D12=""),"",ROUND(MOD(D12-C12,1)*24-N(E12)/60,2))</f>
        <v>8</v>
      </c>
      <c r="G12" s="16" t="n">
        <f aca="false">IF(OR(C12="",D12=""),"",IF(OR($I$2="",$I$3=""),0,ROUND(24*IF($I$2&gt;$I$3,MAX(0,MIN((C12+MOD(D12-C12,1)),$I$3)-C12)+MAX(0,MIN((C12+MOD(D12-C12,1)),1+$I$3)-MAX(C12,$I$2))+MAX(0,(C12+MOD(D12-C12,1))-MAX(C12,1+$I$2)),MAX(0,MIN((C12+MOD(D12-C12,1)),$I$3)-MAX(C12,$I$2))+MAX(0,MIN((C12+MOD(D12-C12,1)),1+$I$3)-MAX(C12,1+$I$2))),2)))</f>
        <v>0</v>
      </c>
      <c r="H12" s="17"/>
      <c r="I12" s="16" t="n">
        <f aca="false">IF(F12="","",IF(AND(K12="DP",N(J12)=0),F12,0))</f>
        <v>0</v>
      </c>
      <c r="J12" s="16" t="n">
        <f aca="false">IF(F12="","",IF(OR(K12="ŠD",COUNTIF(Žymėjimai!$A$16:$A$35,A12)&gt;0),F12,0))</f>
        <v>0</v>
      </c>
      <c r="K12" s="18" t="s">
        <v>26</v>
      </c>
      <c r="L12" s="19"/>
    </row>
    <row r="13" customFormat="false" ht="15" hidden="false" customHeight="false" outlineLevel="0" collapsed="false">
      <c r="A13" s="9" t="n">
        <f aca="false">IF(A12="","",IF(A12+1&gt;$F$4,"",A12+1))</f>
        <v>46086</v>
      </c>
      <c r="B13" s="12" t="str">
        <f aca="false">IF(A13="","",CHOOSE(WEEKDAY(A13,2),"Pr","An","Tr","Kt","Pn","Št","Sk"))</f>
        <v>Kt</v>
      </c>
      <c r="C13" s="13" t="n">
        <v>0.333333333333333</v>
      </c>
      <c r="D13" s="13" t="n">
        <v>0.708333333333333</v>
      </c>
      <c r="E13" s="14" t="n">
        <v>60</v>
      </c>
      <c r="F13" s="15" t="n">
        <f aca="false">IF(OR(C13="",D13=""),"",ROUND(MOD(D13-C13,1)*24-N(E13)/60,2))</f>
        <v>8</v>
      </c>
      <c r="G13" s="16" t="n">
        <f aca="false">IF(OR(C13="",D13=""),"",IF(OR($I$2="",$I$3=""),0,ROUND(24*IF($I$2&gt;$I$3,MAX(0,MIN((C13+MOD(D13-C13,1)),$I$3)-C13)+MAX(0,MIN((C13+MOD(D13-C13,1)),1+$I$3)-MAX(C13,$I$2))+MAX(0,(C13+MOD(D13-C13,1))-MAX(C13,1+$I$2)),MAX(0,MIN((C13+MOD(D13-C13,1)),$I$3)-MAX(C13,$I$2))+MAX(0,MIN((C13+MOD(D13-C13,1)),1+$I$3)-MAX(C13,1+$I$2))),2)))</f>
        <v>0</v>
      </c>
      <c r="H13" s="17"/>
      <c r="I13" s="16" t="n">
        <f aca="false">IF(F13="","",IF(AND(K13="DP",N(J13)=0),F13,0))</f>
        <v>0</v>
      </c>
      <c r="J13" s="16" t="n">
        <f aca="false">IF(F13="","",IF(OR(K13="ŠD",COUNTIF(Žymėjimai!$A$16:$A$35,A13)&gt;0),F13,0))</f>
        <v>0</v>
      </c>
      <c r="K13" s="18" t="s">
        <v>26</v>
      </c>
      <c r="L13" s="19"/>
    </row>
    <row r="14" customFormat="false" ht="15" hidden="false" customHeight="false" outlineLevel="0" collapsed="false">
      <c r="A14" s="9" t="n">
        <f aca="false">IF(A13="","",IF(A13+1&gt;$F$4,"",A13+1))</f>
        <v>46087</v>
      </c>
      <c r="B14" s="12" t="str">
        <f aca="false">IF(A14="","",CHOOSE(WEEKDAY(A14,2),"Pr","An","Tr","Kt","Pn","Št","Sk"))</f>
        <v>Pn</v>
      </c>
      <c r="C14" s="13" t="n">
        <v>0.333333333333333</v>
      </c>
      <c r="D14" s="13" t="n">
        <v>0.708333333333333</v>
      </c>
      <c r="E14" s="14" t="n">
        <v>60</v>
      </c>
      <c r="F14" s="15" t="n">
        <f aca="false">IF(OR(C14="",D14=""),"",ROUND(MOD(D14-C14,1)*24-N(E14)/60,2))</f>
        <v>8</v>
      </c>
      <c r="G14" s="16" t="n">
        <f aca="false">IF(OR(C14="",D14=""),"",IF(OR($I$2="",$I$3=""),0,ROUND(24*IF($I$2&gt;$I$3,MAX(0,MIN((C14+MOD(D14-C14,1)),$I$3)-C14)+MAX(0,MIN((C14+MOD(D14-C14,1)),1+$I$3)-MAX(C14,$I$2))+MAX(0,(C14+MOD(D14-C14,1))-MAX(C14,1+$I$2)),MAX(0,MIN((C14+MOD(D14-C14,1)),$I$3)-MAX(C14,$I$2))+MAX(0,MIN((C14+MOD(D14-C14,1)),1+$I$3)-MAX(C14,1+$I$2))),2)))</f>
        <v>0</v>
      </c>
      <c r="H14" s="17"/>
      <c r="I14" s="16" t="n">
        <f aca="false">IF(F14="","",IF(AND(K14="DP",N(J14)=0),F14,0))</f>
        <v>0</v>
      </c>
      <c r="J14" s="16" t="n">
        <f aca="false">IF(F14="","",IF(OR(K14="ŠD",COUNTIF(Žymėjimai!$A$16:$A$35,A14)&gt;0),F14,0))</f>
        <v>0</v>
      </c>
      <c r="K14" s="18" t="s">
        <v>26</v>
      </c>
      <c r="L14" s="19"/>
    </row>
    <row r="15" customFormat="false" ht="15" hidden="false" customHeight="false" outlineLevel="0" collapsed="false">
      <c r="A15" s="9" t="n">
        <f aca="false">IF(A14="","",IF(A14+1&gt;$F$4,"",A14+1))</f>
        <v>46088</v>
      </c>
      <c r="B15" s="12" t="str">
        <f aca="false">IF(A15="","",CHOOSE(WEEKDAY(A15,2),"Pr","An","Tr","Kt","Pn","Št","Sk"))</f>
        <v>Št</v>
      </c>
      <c r="C15" s="13"/>
      <c r="D15" s="13"/>
      <c r="E15" s="14"/>
      <c r="F15" s="15" t="str">
        <f aca="false">IF(OR(C15="",D15=""),"",ROUND(MOD(D15-C15,1)*24-N(E15)/60,2))</f>
        <v/>
      </c>
      <c r="G15" s="16" t="str">
        <f aca="false">IF(OR(C15="",D15=""),"",IF(OR($I$2="",$I$3=""),0,ROUND(24*IF($I$2&gt;$I$3,MAX(0,MIN((C15+MOD(D15-C15,1)),$I$3)-C15)+MAX(0,MIN((C15+MOD(D15-C15,1)),1+$I$3)-MAX(C15,$I$2))+MAX(0,(C15+MOD(D15-C15,1))-MAX(C15,1+$I$2)),MAX(0,MIN((C15+MOD(D15-C15,1)),$I$3)-MAX(C15,$I$2))+MAX(0,MIN((C15+MOD(D15-C15,1)),1+$I$3)-MAX(C15,1+$I$2))),2)))</f>
        <v/>
      </c>
      <c r="H15" s="17"/>
      <c r="I15" s="16" t="str">
        <f aca="false">IF(F15="","",IF(AND(K15="DP",N(J15)=0),F15,0))</f>
        <v/>
      </c>
      <c r="J15" s="16" t="str">
        <f aca="false">IF(F15="","",IF(OR(K15="ŠD",COUNTIF(Žymėjimai!$A$16:$A$35,A15)&gt;0),F15,0))</f>
        <v/>
      </c>
      <c r="K15" s="18"/>
      <c r="L15" s="19"/>
    </row>
    <row r="16" customFormat="false" ht="15" hidden="false" customHeight="false" outlineLevel="0" collapsed="false">
      <c r="A16" s="9" t="n">
        <f aca="false">IF(A15="","",IF(A15+1&gt;$F$4,"",A15+1))</f>
        <v>46089</v>
      </c>
      <c r="B16" s="12" t="str">
        <f aca="false">IF(A16="","",CHOOSE(WEEKDAY(A16,2),"Pr","An","Tr","Kt","Pn","Št","Sk"))</f>
        <v>Sk</v>
      </c>
      <c r="C16" s="13"/>
      <c r="D16" s="13"/>
      <c r="E16" s="14"/>
      <c r="F16" s="15" t="str">
        <f aca="false">IF(OR(C16="",D16=""),"",ROUND(MOD(D16-C16,1)*24-N(E16)/60,2))</f>
        <v/>
      </c>
      <c r="G16" s="16" t="str">
        <f aca="false">IF(OR(C16="",D16=""),"",IF(OR($I$2="",$I$3=""),0,ROUND(24*IF($I$2&gt;$I$3,MAX(0,MIN((C16+MOD(D16-C16,1)),$I$3)-C16)+MAX(0,MIN((C16+MOD(D16-C16,1)),1+$I$3)-MAX(C16,$I$2))+MAX(0,(C16+MOD(D16-C16,1))-MAX(C16,1+$I$2)),MAX(0,MIN((C16+MOD(D16-C16,1)),$I$3)-MAX(C16,$I$2))+MAX(0,MIN((C16+MOD(D16-C16,1)),1+$I$3)-MAX(C16,1+$I$2))),2)))</f>
        <v/>
      </c>
      <c r="H16" s="17"/>
      <c r="I16" s="16" t="str">
        <f aca="false">IF(F16="","",IF(AND(K16="DP",N(J16)=0),F16,0))</f>
        <v/>
      </c>
      <c r="J16" s="16" t="str">
        <f aca="false">IF(F16="","",IF(OR(K16="ŠD",COUNTIF(Žymėjimai!$A$16:$A$35,A16)&gt;0),F16,0))</f>
        <v/>
      </c>
      <c r="K16" s="18"/>
      <c r="L16" s="19"/>
    </row>
    <row r="17" customFormat="false" ht="15" hidden="false" customHeight="false" outlineLevel="0" collapsed="false">
      <c r="A17" s="9" t="n">
        <f aca="false">IF(A16="","",IF(A16+1&gt;$F$4,"",A16+1))</f>
        <v>46090</v>
      </c>
      <c r="B17" s="12" t="str">
        <f aca="false">IF(A17="","",CHOOSE(WEEKDAY(A17,2),"Pr","An","Tr","Kt","Pn","Št","Sk"))</f>
        <v>Pr</v>
      </c>
      <c r="C17" s="13" t="n">
        <v>0.333333333333333</v>
      </c>
      <c r="D17" s="13" t="n">
        <v>0.708333333333333</v>
      </c>
      <c r="E17" s="14" t="n">
        <v>60</v>
      </c>
      <c r="F17" s="15" t="n">
        <f aca="false">IF(OR(C17="",D17=""),"",ROUND(MOD(D17-C17,1)*24-N(E17)/60,2))</f>
        <v>8</v>
      </c>
      <c r="G17" s="16" t="n">
        <f aca="false">IF(OR(C17="",D17=""),"",IF(OR($I$2="",$I$3=""),0,ROUND(24*IF($I$2&gt;$I$3,MAX(0,MIN((C17+MOD(D17-C17,1)),$I$3)-C17)+MAX(0,MIN((C17+MOD(D17-C17,1)),1+$I$3)-MAX(C17,$I$2))+MAX(0,(C17+MOD(D17-C17,1))-MAX(C17,1+$I$2)),MAX(0,MIN((C17+MOD(D17-C17,1)),$I$3)-MAX(C17,$I$2))+MAX(0,MIN((C17+MOD(D17-C17,1)),1+$I$3)-MAX(C17,1+$I$2))),2)))</f>
        <v>0</v>
      </c>
      <c r="H17" s="17"/>
      <c r="I17" s="16" t="n">
        <f aca="false">IF(F17="","",IF(AND(K17="DP",N(J17)=0),F17,0))</f>
        <v>0</v>
      </c>
      <c r="J17" s="16" t="n">
        <f aca="false">IF(F17="","",IF(OR(K17="ŠD",COUNTIF(Žymėjimai!$A$16:$A$35,A17)&gt;0),F17,0))</f>
        <v>0</v>
      </c>
      <c r="K17" s="18" t="s">
        <v>26</v>
      </c>
      <c r="L17" s="19"/>
    </row>
    <row r="18" customFormat="false" ht="15" hidden="false" customHeight="false" outlineLevel="0" collapsed="false">
      <c r="A18" s="9" t="n">
        <f aca="false">IF(A17="","",IF(A17+1&gt;$F$4,"",A17+1))</f>
        <v>46091</v>
      </c>
      <c r="B18" s="12" t="str">
        <f aca="false">IF(A18="","",CHOOSE(WEEKDAY(A18,2),"Pr","An","Tr","Kt","Pn","Št","Sk"))</f>
        <v>An</v>
      </c>
      <c r="C18" s="13" t="n">
        <v>0.333333333333333</v>
      </c>
      <c r="D18" s="13" t="n">
        <v>0.708333333333333</v>
      </c>
      <c r="E18" s="14" t="n">
        <v>60</v>
      </c>
      <c r="F18" s="15" t="n">
        <f aca="false">IF(OR(C18="",D18=""),"",ROUND(MOD(D18-C18,1)*24-N(E18)/60,2))</f>
        <v>8</v>
      </c>
      <c r="G18" s="16" t="n">
        <f aca="false">IF(OR(C18="",D18=""),"",IF(OR($I$2="",$I$3=""),0,ROUND(24*IF($I$2&gt;$I$3,MAX(0,MIN((C18+MOD(D18-C18,1)),$I$3)-C18)+MAX(0,MIN((C18+MOD(D18-C18,1)),1+$I$3)-MAX(C18,$I$2))+MAX(0,(C18+MOD(D18-C18,1))-MAX(C18,1+$I$2)),MAX(0,MIN((C18+MOD(D18-C18,1)),$I$3)-MAX(C18,$I$2))+MAX(0,MIN((C18+MOD(D18-C18,1)),1+$I$3)-MAX(C18,1+$I$2))),2)))</f>
        <v>0</v>
      </c>
      <c r="H18" s="17"/>
      <c r="I18" s="16" t="n">
        <f aca="false">IF(F18="","",IF(AND(K18="DP",N(J18)=0),F18,0))</f>
        <v>0</v>
      </c>
      <c r="J18" s="16" t="n">
        <f aca="false">IF(F18="","",IF(OR(K18="ŠD",COUNTIF(Žymėjimai!$A$16:$A$35,A18)&gt;0),F18,0))</f>
        <v>0</v>
      </c>
      <c r="K18" s="18" t="s">
        <v>26</v>
      </c>
      <c r="L18" s="19"/>
    </row>
    <row r="19" customFormat="false" ht="15" hidden="false" customHeight="false" outlineLevel="0" collapsed="false">
      <c r="A19" s="9" t="n">
        <f aca="false">IF(A18="","",IF(A18+1&gt;$F$4,"",A18+1))</f>
        <v>46092</v>
      </c>
      <c r="B19" s="12" t="str">
        <f aca="false">IF(A19="","",CHOOSE(WEEKDAY(A19,2),"Pr","An","Tr","Kt","Pn","Št","Sk"))</f>
        <v>Tr</v>
      </c>
      <c r="C19" s="13" t="n">
        <v>0.333333333333333</v>
      </c>
      <c r="D19" s="13" t="n">
        <v>0.6875</v>
      </c>
      <c r="E19" s="14" t="n">
        <v>30</v>
      </c>
      <c r="F19" s="15" t="n">
        <f aca="false">IF(OR(C19="",D19=""),"",ROUND(MOD(D19-C19,1)*24-N(E19)/60,2))</f>
        <v>8</v>
      </c>
      <c r="G19" s="16" t="n">
        <f aca="false">IF(OR(C19="",D19=""),"",IF(OR($I$2="",$I$3=""),0,ROUND(24*IF($I$2&gt;$I$3,MAX(0,MIN((C19+MOD(D19-C19,1)),$I$3)-C19)+MAX(0,MIN((C19+MOD(D19-C19,1)),1+$I$3)-MAX(C19,$I$2))+MAX(0,(C19+MOD(D19-C19,1))-MAX(C19,1+$I$2)),MAX(0,MIN((C19+MOD(D19-C19,1)),$I$3)-MAX(C19,$I$2))+MAX(0,MIN((C19+MOD(D19-C19,1)),1+$I$3)-MAX(C19,1+$I$2))),2)))</f>
        <v>0</v>
      </c>
      <c r="H19" s="17"/>
      <c r="I19" s="16" t="n">
        <f aca="false">IF(F19="","",IF(AND(K19="DP",N(J19)=0),F19,0))</f>
        <v>0</v>
      </c>
      <c r="J19" s="16" t="n">
        <f aca="false">IF(F19="","",IF(OR(K19="ŠD",COUNTIF(Žymėjimai!$A$16:$A$35,A19)&gt;0),F19,0))</f>
        <v>8</v>
      </c>
      <c r="K19" s="18" t="s">
        <v>27</v>
      </c>
      <c r="L19" s="19" t="s">
        <v>28</v>
      </c>
    </row>
    <row r="20" customFormat="false" ht="15" hidden="false" customHeight="false" outlineLevel="0" collapsed="false">
      <c r="A20" s="9" t="n">
        <f aca="false">IF(A19="","",IF(A19+1&gt;$F$4,"",A19+1))</f>
        <v>46093</v>
      </c>
      <c r="B20" s="12" t="str">
        <f aca="false">IF(A20="","",CHOOSE(WEEKDAY(A20,2),"Pr","An","Tr","Kt","Pn","Št","Sk"))</f>
        <v>Kt</v>
      </c>
      <c r="C20" s="13" t="n">
        <v>0.333333333333333</v>
      </c>
      <c r="D20" s="13" t="n">
        <v>0.708333333333333</v>
      </c>
      <c r="E20" s="14" t="n">
        <v>60</v>
      </c>
      <c r="F20" s="15" t="n">
        <f aca="false">IF(OR(C20="",D20=""),"",ROUND(MOD(D20-C20,1)*24-N(E20)/60,2))</f>
        <v>8</v>
      </c>
      <c r="G20" s="16" t="n">
        <f aca="false">IF(OR(C20="",D20=""),"",IF(OR($I$2="",$I$3=""),0,ROUND(24*IF($I$2&gt;$I$3,MAX(0,MIN((C20+MOD(D20-C20,1)),$I$3)-C20)+MAX(0,MIN((C20+MOD(D20-C20,1)),1+$I$3)-MAX(C20,$I$2))+MAX(0,(C20+MOD(D20-C20,1))-MAX(C20,1+$I$2)),MAX(0,MIN((C20+MOD(D20-C20,1)),$I$3)-MAX(C20,$I$2))+MAX(0,MIN((C20+MOD(D20-C20,1)),1+$I$3)-MAX(C20,1+$I$2))),2)))</f>
        <v>0</v>
      </c>
      <c r="H20" s="17"/>
      <c r="I20" s="16" t="n">
        <f aca="false">IF(F20="","",IF(AND(K20="DP",N(J20)=0),F20,0))</f>
        <v>0</v>
      </c>
      <c r="J20" s="16" t="n">
        <f aca="false">IF(F20="","",IF(OR(K20="ŠD",COUNTIF(Žymėjimai!$A$16:$A$35,A20)&gt;0),F20,0))</f>
        <v>0</v>
      </c>
      <c r="K20" s="18" t="s">
        <v>26</v>
      </c>
      <c r="L20" s="19" t="s">
        <v>29</v>
      </c>
    </row>
    <row r="21" customFormat="false" ht="15" hidden="false" customHeight="false" outlineLevel="0" collapsed="false">
      <c r="A21" s="9" t="n">
        <f aca="false">IF(A20="","",IF(A20+1&gt;$F$4,"",A20+1))</f>
        <v>46094</v>
      </c>
      <c r="B21" s="12" t="str">
        <f aca="false">IF(A21="","",CHOOSE(WEEKDAY(A21,2),"Pr","An","Tr","Kt","Pn","Št","Sk"))</f>
        <v>Pn</v>
      </c>
      <c r="C21" s="13" t="n">
        <v>0.333333333333333</v>
      </c>
      <c r="D21" s="13" t="n">
        <v>0.708333333333333</v>
      </c>
      <c r="E21" s="14" t="n">
        <v>60</v>
      </c>
      <c r="F21" s="15" t="n">
        <f aca="false">IF(OR(C21="",D21=""),"",ROUND(MOD(D21-C21,1)*24-N(E21)/60,2))</f>
        <v>8</v>
      </c>
      <c r="G21" s="16" t="n">
        <f aca="false">IF(OR(C21="",D21=""),"",IF(OR($I$2="",$I$3=""),0,ROUND(24*IF($I$2&gt;$I$3,MAX(0,MIN((C21+MOD(D21-C21,1)),$I$3)-C21)+MAX(0,MIN((C21+MOD(D21-C21,1)),1+$I$3)-MAX(C21,$I$2))+MAX(0,(C21+MOD(D21-C21,1))-MAX(C21,1+$I$2)),MAX(0,MIN((C21+MOD(D21-C21,1)),$I$3)-MAX(C21,$I$2))+MAX(0,MIN((C21+MOD(D21-C21,1)),1+$I$3)-MAX(C21,1+$I$2))),2)))</f>
        <v>0</v>
      </c>
      <c r="H21" s="17"/>
      <c r="I21" s="16" t="n">
        <f aca="false">IF(F21="","",IF(AND(K21="DP",N(J21)=0),F21,0))</f>
        <v>0</v>
      </c>
      <c r="J21" s="16" t="n">
        <f aca="false">IF(F21="","",IF(OR(K21="ŠD",COUNTIF(Žymėjimai!$A$16:$A$35,A21)&gt;0),F21,0))</f>
        <v>0</v>
      </c>
      <c r="K21" s="18" t="s">
        <v>26</v>
      </c>
      <c r="L21" s="19"/>
    </row>
    <row r="22" customFormat="false" ht="15" hidden="false" customHeight="false" outlineLevel="0" collapsed="false">
      <c r="A22" s="9" t="n">
        <f aca="false">IF(A21="","",IF(A21+1&gt;$F$4,"",A21+1))</f>
        <v>46095</v>
      </c>
      <c r="B22" s="12" t="str">
        <f aca="false">IF(A22="","",CHOOSE(WEEKDAY(A22,2),"Pr","An","Tr","Kt","Pn","Št","Sk"))</f>
        <v>Št</v>
      </c>
      <c r="C22" s="13" t="n">
        <v>0.333333333333333</v>
      </c>
      <c r="D22" s="13" t="n">
        <v>0.6875</v>
      </c>
      <c r="E22" s="14" t="n">
        <v>30</v>
      </c>
      <c r="F22" s="15" t="n">
        <f aca="false">IF(OR(C22="",D22=""),"",ROUND(MOD(D22-C22,1)*24-N(E22)/60,2))</f>
        <v>8</v>
      </c>
      <c r="G22" s="16" t="n">
        <f aca="false">IF(OR(C22="",D22=""),"",IF(OR($I$2="",$I$3=""),0,ROUND(24*IF($I$2&gt;$I$3,MAX(0,MIN((C22+MOD(D22-C22,1)),$I$3)-C22)+MAX(0,MIN((C22+MOD(D22-C22,1)),1+$I$3)-MAX(C22,$I$2))+MAX(0,(C22+MOD(D22-C22,1))-MAX(C22,1+$I$2)),MAX(0,MIN((C22+MOD(D22-C22,1)),$I$3)-MAX(C22,$I$2))+MAX(0,MIN((C22+MOD(D22-C22,1)),1+$I$3)-MAX(C22,1+$I$2))),2)))</f>
        <v>0</v>
      </c>
      <c r="H22" s="17"/>
      <c r="I22" s="16" t="n">
        <f aca="false">IF(F22="","",IF(AND(K22="DP",N(J22)=0),F22,0))</f>
        <v>8</v>
      </c>
      <c r="J22" s="16" t="n">
        <f aca="false">IF(F22="","",IF(OR(K22="ŠD",COUNTIF(Žymėjimai!$A$16:$A$35,A22)&gt;0),F22,0))</f>
        <v>0</v>
      </c>
      <c r="K22" s="18" t="s">
        <v>30</v>
      </c>
      <c r="L22" s="19" t="s">
        <v>31</v>
      </c>
    </row>
    <row r="23" customFormat="false" ht="15" hidden="false" customHeight="false" outlineLevel="0" collapsed="false">
      <c r="A23" s="9" t="n">
        <f aca="false">IF(A22="","",IF(A22+1&gt;$F$4,"",A22+1))</f>
        <v>46096</v>
      </c>
      <c r="B23" s="12" t="str">
        <f aca="false">IF(A23="","",CHOOSE(WEEKDAY(A23,2),"Pr","An","Tr","Kt","Pn","Št","Sk"))</f>
        <v>Sk</v>
      </c>
      <c r="C23" s="13"/>
      <c r="D23" s="13"/>
      <c r="E23" s="14"/>
      <c r="F23" s="15" t="str">
        <f aca="false">IF(OR(C23="",D23=""),"",ROUND(MOD(D23-C23,1)*24-N(E23)/60,2))</f>
        <v/>
      </c>
      <c r="G23" s="16" t="str">
        <f aca="false">IF(OR(C23="",D23=""),"",IF(OR($I$2="",$I$3=""),0,ROUND(24*IF($I$2&gt;$I$3,MAX(0,MIN((C23+MOD(D23-C23,1)),$I$3)-C23)+MAX(0,MIN((C23+MOD(D23-C23,1)),1+$I$3)-MAX(C23,$I$2))+MAX(0,(C23+MOD(D23-C23,1))-MAX(C23,1+$I$2)),MAX(0,MIN((C23+MOD(D23-C23,1)),$I$3)-MAX(C23,$I$2))+MAX(0,MIN((C23+MOD(D23-C23,1)),1+$I$3)-MAX(C23,1+$I$2))),2)))</f>
        <v/>
      </c>
      <c r="H23" s="17"/>
      <c r="I23" s="16" t="str">
        <f aca="false">IF(F23="","",IF(AND(K23="DP",N(J23)=0),F23,0))</f>
        <v/>
      </c>
      <c r="J23" s="16" t="str">
        <f aca="false">IF(F23="","",IF(OR(K23="ŠD",COUNTIF(Žymėjimai!$A$16:$A$35,A23)&gt;0),F23,0))</f>
        <v/>
      </c>
      <c r="K23" s="18"/>
      <c r="L23" s="19"/>
    </row>
    <row r="24" customFormat="false" ht="15" hidden="false" customHeight="false" outlineLevel="0" collapsed="false">
      <c r="A24" s="9" t="n">
        <f aca="false">IF(A23="","",IF(A23+1&gt;$F$4,"",A23+1))</f>
        <v>46097</v>
      </c>
      <c r="B24" s="12" t="str">
        <f aca="false">IF(A24="","",CHOOSE(WEEKDAY(A24,2),"Pr","An","Tr","Kt","Pn","Št","Sk"))</f>
        <v>Pr</v>
      </c>
      <c r="C24" s="13" t="n">
        <v>0.333333333333333</v>
      </c>
      <c r="D24" s="13" t="n">
        <v>0.708333333333333</v>
      </c>
      <c r="E24" s="14" t="n">
        <v>60</v>
      </c>
      <c r="F24" s="15" t="n">
        <f aca="false">IF(OR(C24="",D24=""),"",ROUND(MOD(D24-C24,1)*24-N(E24)/60,2))</f>
        <v>8</v>
      </c>
      <c r="G24" s="16" t="n">
        <f aca="false">IF(OR(C24="",D24=""),"",IF(OR($I$2="",$I$3=""),0,ROUND(24*IF($I$2&gt;$I$3,MAX(0,MIN((C24+MOD(D24-C24,1)),$I$3)-C24)+MAX(0,MIN((C24+MOD(D24-C24,1)),1+$I$3)-MAX(C24,$I$2))+MAX(0,(C24+MOD(D24-C24,1))-MAX(C24,1+$I$2)),MAX(0,MIN((C24+MOD(D24-C24,1)),$I$3)-MAX(C24,$I$2))+MAX(0,MIN((C24+MOD(D24-C24,1)),1+$I$3)-MAX(C24,1+$I$2))),2)))</f>
        <v>0</v>
      </c>
      <c r="H24" s="17"/>
      <c r="I24" s="16" t="n">
        <f aca="false">IF(F24="","",IF(AND(K24="DP",N(J24)=0),F24,0))</f>
        <v>0</v>
      </c>
      <c r="J24" s="16" t="n">
        <f aca="false">IF(F24="","",IF(OR(K24="ŠD",COUNTIF(Žymėjimai!$A$16:$A$35,A24)&gt;0),F24,0))</f>
        <v>0</v>
      </c>
      <c r="K24" s="18" t="s">
        <v>26</v>
      </c>
      <c r="L24" s="19"/>
    </row>
    <row r="25" customFormat="false" ht="15" hidden="false" customHeight="false" outlineLevel="0" collapsed="false">
      <c r="A25" s="9" t="n">
        <f aca="false">IF(A24="","",IF(A24+1&gt;$F$4,"",A24+1))</f>
        <v>46098</v>
      </c>
      <c r="B25" s="12" t="str">
        <f aca="false">IF(A25="","",CHOOSE(WEEKDAY(A25,2),"Pr","An","Tr","Kt","Pn","Št","Sk"))</f>
        <v>An</v>
      </c>
      <c r="C25" s="13" t="n">
        <v>0.333333333333333</v>
      </c>
      <c r="D25" s="13" t="n">
        <v>0.708333333333333</v>
      </c>
      <c r="E25" s="14" t="n">
        <v>60</v>
      </c>
      <c r="F25" s="15" t="n">
        <f aca="false">IF(OR(C25="",D25=""),"",ROUND(MOD(D25-C25,1)*24-N(E25)/60,2))</f>
        <v>8</v>
      </c>
      <c r="G25" s="16" t="n">
        <f aca="false">IF(OR(C25="",D25=""),"",IF(OR($I$2="",$I$3=""),0,ROUND(24*IF($I$2&gt;$I$3,MAX(0,MIN((C25+MOD(D25-C25,1)),$I$3)-C25)+MAX(0,MIN((C25+MOD(D25-C25,1)),1+$I$3)-MAX(C25,$I$2))+MAX(0,(C25+MOD(D25-C25,1))-MAX(C25,1+$I$2)),MAX(0,MIN((C25+MOD(D25-C25,1)),$I$3)-MAX(C25,$I$2))+MAX(0,MIN((C25+MOD(D25-C25,1)),1+$I$3)-MAX(C25,1+$I$2))),2)))</f>
        <v>0</v>
      </c>
      <c r="H25" s="17"/>
      <c r="I25" s="16" t="n">
        <f aca="false">IF(F25="","",IF(AND(K25="DP",N(J25)=0),F25,0))</f>
        <v>0</v>
      </c>
      <c r="J25" s="16" t="n">
        <f aca="false">IF(F25="","",IF(OR(K25="ŠD",COUNTIF(Žymėjimai!$A$16:$A$35,A25)&gt;0),F25,0))</f>
        <v>0</v>
      </c>
      <c r="K25" s="18" t="s">
        <v>26</v>
      </c>
      <c r="L25" s="19"/>
    </row>
    <row r="26" customFormat="false" ht="15" hidden="false" customHeight="false" outlineLevel="0" collapsed="false">
      <c r="A26" s="9" t="n">
        <f aca="false">IF(A25="","",IF(A25+1&gt;$F$4,"",A25+1))</f>
        <v>46099</v>
      </c>
      <c r="B26" s="12" t="str">
        <f aca="false">IF(A26="","",CHOOSE(WEEKDAY(A26,2),"Pr","An","Tr","Kt","Pn","Št","Sk"))</f>
        <v>Tr</v>
      </c>
      <c r="C26" s="13" t="n">
        <v>0.583333333333333</v>
      </c>
      <c r="D26" s="13" t="n">
        <v>0.9375</v>
      </c>
      <c r="E26" s="14" t="n">
        <v>30</v>
      </c>
      <c r="F26" s="15" t="n">
        <f aca="false">IF(OR(C26="",D26=""),"",ROUND(MOD(D26-C26,1)*24-N(E26)/60,2))</f>
        <v>8</v>
      </c>
      <c r="G26" s="16" t="n">
        <f aca="false">IF(OR(C26="",D26=""),"",IF(OR($I$2="",$I$3=""),0,ROUND(24*IF($I$2&gt;$I$3,MAX(0,MIN((C26+MOD(D26-C26,1)),$I$3)-C26)+MAX(0,MIN((C26+MOD(D26-C26,1)),1+$I$3)-MAX(C26,$I$2))+MAX(0,(C26+MOD(D26-C26,1))-MAX(C26,1+$I$2)),MAX(0,MIN((C26+MOD(D26-C26,1)),$I$3)-MAX(C26,$I$2))+MAX(0,MIN((C26+MOD(D26-C26,1)),1+$I$3)-MAX(C26,1+$I$2))),2)))</f>
        <v>0</v>
      </c>
      <c r="H26" s="17"/>
      <c r="I26" s="16" t="n">
        <f aca="false">IF(F26="","",IF(AND(K26="DP",N(J26)=0),F26,0))</f>
        <v>0</v>
      </c>
      <c r="J26" s="16" t="n">
        <f aca="false">IF(F26="","",IF(OR(K26="ŠD",COUNTIF(Žymėjimai!$A$16:$A$35,A26)&gt;0),F26,0))</f>
        <v>0</v>
      </c>
      <c r="K26" s="18" t="s">
        <v>26</v>
      </c>
      <c r="L26" s="19" t="s">
        <v>32</v>
      </c>
    </row>
    <row r="27" customFormat="false" ht="15" hidden="false" customHeight="false" outlineLevel="0" collapsed="false">
      <c r="A27" s="9" t="n">
        <f aca="false">IF(A26="","",IF(A26+1&gt;$F$4,"",A26+1))</f>
        <v>46100</v>
      </c>
      <c r="B27" s="12" t="str">
        <f aca="false">IF(A27="","",CHOOSE(WEEKDAY(A27,2),"Pr","An","Tr","Kt","Pn","Št","Sk"))</f>
        <v>Kt</v>
      </c>
      <c r="C27" s="13" t="n">
        <v>0.291666666666667</v>
      </c>
      <c r="D27" s="13" t="n">
        <v>0.666666666666667</v>
      </c>
      <c r="E27" s="14" t="n">
        <v>60</v>
      </c>
      <c r="F27" s="15" t="n">
        <f aca="false">IF(OR(C27="",D27=""),"",ROUND(MOD(D27-C27,1)*24-N(E27)/60,2))</f>
        <v>8</v>
      </c>
      <c r="G27" s="16" t="n">
        <f aca="false">IF(OR(C27="",D27=""),"",IF(OR($I$2="",$I$3=""),0,ROUND(24*IF($I$2&gt;$I$3,MAX(0,MIN((C27+MOD(D27-C27,1)),$I$3)-C27)+MAX(0,MIN((C27+MOD(D27-C27,1)),1+$I$3)-MAX(C27,$I$2))+MAX(0,(C27+MOD(D27-C27,1))-MAX(C27,1+$I$2)),MAX(0,MIN((C27+MOD(D27-C27,1)),$I$3)-MAX(C27,$I$2))+MAX(0,MIN((C27+MOD(D27-C27,1)),1+$I$3)-MAX(C27,1+$I$2))),2)))</f>
        <v>0</v>
      </c>
      <c r="H27" s="17"/>
      <c r="I27" s="16" t="n">
        <f aca="false">IF(F27="","",IF(AND(K27="DP",N(J27)=0),F27,0))</f>
        <v>0</v>
      </c>
      <c r="J27" s="16" t="n">
        <f aca="false">IF(F27="","",IF(OR(K27="ŠD",COUNTIF(Žymėjimai!$A$16:$A$35,A27)&gt;0),F27,0))</f>
        <v>0</v>
      </c>
      <c r="K27" s="18" t="s">
        <v>26</v>
      </c>
      <c r="L27" s="19" t="s">
        <v>33</v>
      </c>
    </row>
    <row r="28" customFormat="false" ht="15" hidden="false" customHeight="false" outlineLevel="0" collapsed="false">
      <c r="A28" s="9" t="n">
        <f aca="false">IF(A27="","",IF(A27+1&gt;$F$4,"",A27+1))</f>
        <v>46101</v>
      </c>
      <c r="B28" s="12" t="str">
        <f aca="false">IF(A28="","",CHOOSE(WEEKDAY(A28,2),"Pr","An","Tr","Kt","Pn","Št","Sk"))</f>
        <v>Pn</v>
      </c>
      <c r="C28" s="13" t="n">
        <v>0.75</v>
      </c>
      <c r="D28" s="13" t="n">
        <v>0.0833333333333333</v>
      </c>
      <c r="E28" s="14" t="n">
        <v>0</v>
      </c>
      <c r="F28" s="15" t="n">
        <f aca="false">IF(OR(C28="",D28=""),"",ROUND(MOD(D28-C28,1)*24-N(E28)/60,2))</f>
        <v>8</v>
      </c>
      <c r="G28" s="16" t="n">
        <f aca="false">IF(OR(C28="",D28=""),"",IF(OR($I$2="",$I$3=""),0,ROUND(24*IF($I$2&gt;$I$3,MAX(0,MIN((C28+MOD(D28-C28,1)),$I$3)-C28)+MAX(0,MIN((C28+MOD(D28-C28,1)),1+$I$3)-MAX(C28,$I$2))+MAX(0,(C28+MOD(D28-C28,1))-MAX(C28,1+$I$2)),MAX(0,MIN((C28+MOD(D28-C28,1)),$I$3)-MAX(C28,$I$2))+MAX(0,MIN((C28+MOD(D28-C28,1)),1+$I$3)-MAX(C28,1+$I$2))),2)))</f>
        <v>0</v>
      </c>
      <c r="H28" s="17"/>
      <c r="I28" s="16" t="n">
        <f aca="false">IF(F28="","",IF(AND(K28="DP",N(J28)=0),F28,0))</f>
        <v>0</v>
      </c>
      <c r="J28" s="16" t="n">
        <f aca="false">IF(F28="","",IF(OR(K28="ŠD",COUNTIF(Žymėjimai!$A$16:$A$35,A28)&gt;0),F28,0))</f>
        <v>0</v>
      </c>
      <c r="K28" s="18" t="s">
        <v>26</v>
      </c>
      <c r="L28" s="19" t="s">
        <v>34</v>
      </c>
    </row>
    <row r="29" customFormat="false" ht="15" hidden="false" customHeight="false" outlineLevel="0" collapsed="false">
      <c r="A29" s="9" t="n">
        <f aca="false">IF(A28="","",IF(A28+1&gt;$F$4,"",A28+1))</f>
        <v>46102</v>
      </c>
      <c r="B29" s="12" t="str">
        <f aca="false">IF(A29="","",CHOOSE(WEEKDAY(A29,2),"Pr","An","Tr","Kt","Pn","Št","Sk"))</f>
        <v>Št</v>
      </c>
      <c r="C29" s="13"/>
      <c r="D29" s="13"/>
      <c r="E29" s="14"/>
      <c r="F29" s="15" t="str">
        <f aca="false">IF(OR(C29="",D29=""),"",ROUND(MOD(D29-C29,1)*24-N(E29)/60,2))</f>
        <v/>
      </c>
      <c r="G29" s="16" t="str">
        <f aca="false">IF(OR(C29="",D29=""),"",IF(OR($I$2="",$I$3=""),0,ROUND(24*IF($I$2&gt;$I$3,MAX(0,MIN((C29+MOD(D29-C29,1)),$I$3)-C29)+MAX(0,MIN((C29+MOD(D29-C29,1)),1+$I$3)-MAX(C29,$I$2))+MAX(0,(C29+MOD(D29-C29,1))-MAX(C29,1+$I$2)),MAX(0,MIN((C29+MOD(D29-C29,1)),$I$3)-MAX(C29,$I$2))+MAX(0,MIN((C29+MOD(D29-C29,1)),1+$I$3)-MAX(C29,1+$I$2))),2)))</f>
        <v/>
      </c>
      <c r="H29" s="17"/>
      <c r="I29" s="16" t="str">
        <f aca="false">IF(F29="","",IF(AND(K29="DP",N(J29)=0),F29,0))</f>
        <v/>
      </c>
      <c r="J29" s="16" t="str">
        <f aca="false">IF(F29="","",IF(OR(K29="ŠD",COUNTIF(Žymėjimai!$A$16:$A$35,A29)&gt;0),F29,0))</f>
        <v/>
      </c>
      <c r="K29" s="18"/>
      <c r="L29" s="19"/>
    </row>
    <row r="30" customFormat="false" ht="15" hidden="false" customHeight="false" outlineLevel="0" collapsed="false">
      <c r="A30" s="9" t="n">
        <f aca="false">IF(A29="","",IF(A29+1&gt;$F$4,"",A29+1))</f>
        <v>46103</v>
      </c>
      <c r="B30" s="12" t="str">
        <f aca="false">IF(A30="","",CHOOSE(WEEKDAY(A30,2),"Pr","An","Tr","Kt","Pn","Št","Sk"))</f>
        <v>Sk</v>
      </c>
      <c r="C30" s="13"/>
      <c r="D30" s="13"/>
      <c r="E30" s="14"/>
      <c r="F30" s="15" t="str">
        <f aca="false">IF(OR(C30="",D30=""),"",ROUND(MOD(D30-C30,1)*24-N(E30)/60,2))</f>
        <v/>
      </c>
      <c r="G30" s="16" t="str">
        <f aca="false">IF(OR(C30="",D30=""),"",IF(OR($I$2="",$I$3=""),0,ROUND(24*IF($I$2&gt;$I$3,MAX(0,MIN((C30+MOD(D30-C30,1)),$I$3)-C30)+MAX(0,MIN((C30+MOD(D30-C30,1)),1+$I$3)-MAX(C30,$I$2))+MAX(0,(C30+MOD(D30-C30,1))-MAX(C30,1+$I$2)),MAX(0,MIN((C30+MOD(D30-C30,1)),$I$3)-MAX(C30,$I$2))+MAX(0,MIN((C30+MOD(D30-C30,1)),1+$I$3)-MAX(C30,1+$I$2))),2)))</f>
        <v/>
      </c>
      <c r="H30" s="17"/>
      <c r="I30" s="16" t="str">
        <f aca="false">IF(F30="","",IF(AND(K30="DP",N(J30)=0),F30,0))</f>
        <v/>
      </c>
      <c r="J30" s="16" t="str">
        <f aca="false">IF(F30="","",IF(OR(K30="ŠD",COUNTIF(Žymėjimai!$A$16:$A$35,A30)&gt;0),F30,0))</f>
        <v/>
      </c>
      <c r="K30" s="18"/>
      <c r="L30" s="19"/>
    </row>
    <row r="31" customFormat="false" ht="15" hidden="false" customHeight="false" outlineLevel="0" collapsed="false">
      <c r="A31" s="9" t="n">
        <f aca="false">IF(A30="","",IF(A30+1&gt;$F$4,"",A30+1))</f>
        <v>46104</v>
      </c>
      <c r="B31" s="12" t="str">
        <f aca="false">IF(A31="","",CHOOSE(WEEKDAY(A31,2),"Pr","An","Tr","Kt","Pn","Št","Sk"))</f>
        <v>Pr</v>
      </c>
      <c r="C31" s="13" t="n">
        <v>0.333333333333333</v>
      </c>
      <c r="D31" s="13" t="n">
        <v>0.708333333333333</v>
      </c>
      <c r="E31" s="14" t="n">
        <v>60</v>
      </c>
      <c r="F31" s="15" t="n">
        <f aca="false">IF(OR(C31="",D31=""),"",ROUND(MOD(D31-C31,1)*24-N(E31)/60,2))</f>
        <v>8</v>
      </c>
      <c r="G31" s="16" t="n">
        <f aca="false">IF(OR(C31="",D31=""),"",IF(OR($I$2="",$I$3=""),0,ROUND(24*IF($I$2&gt;$I$3,MAX(0,MIN((C31+MOD(D31-C31,1)),$I$3)-C31)+MAX(0,MIN((C31+MOD(D31-C31,1)),1+$I$3)-MAX(C31,$I$2))+MAX(0,(C31+MOD(D31-C31,1))-MAX(C31,1+$I$2)),MAX(0,MIN((C31+MOD(D31-C31,1)),$I$3)-MAX(C31,$I$2))+MAX(0,MIN((C31+MOD(D31-C31,1)),1+$I$3)-MAX(C31,1+$I$2))),2)))</f>
        <v>0</v>
      </c>
      <c r="H31" s="17"/>
      <c r="I31" s="16" t="n">
        <f aca="false">IF(F31="","",IF(AND(K31="DP",N(J31)=0),F31,0))</f>
        <v>0</v>
      </c>
      <c r="J31" s="16" t="n">
        <f aca="false">IF(F31="","",IF(OR(K31="ŠD",COUNTIF(Žymėjimai!$A$16:$A$35,A31)&gt;0),F31,0))</f>
        <v>0</v>
      </c>
      <c r="K31" s="18" t="s">
        <v>26</v>
      </c>
      <c r="L31" s="19"/>
    </row>
    <row r="32" customFormat="false" ht="15" hidden="false" customHeight="false" outlineLevel="0" collapsed="false">
      <c r="A32" s="9" t="n">
        <f aca="false">IF(A31="","",IF(A31+1&gt;$F$4,"",A31+1))</f>
        <v>46105</v>
      </c>
      <c r="B32" s="12" t="str">
        <f aca="false">IF(A32="","",CHOOSE(WEEKDAY(A32,2),"Pr","An","Tr","Kt","Pn","Št","Sk"))</f>
        <v>An</v>
      </c>
      <c r="C32" s="13" t="n">
        <v>0.333333333333333</v>
      </c>
      <c r="D32" s="13" t="n">
        <v>0.708333333333333</v>
      </c>
      <c r="E32" s="14" t="n">
        <v>60</v>
      </c>
      <c r="F32" s="15" t="n">
        <f aca="false">IF(OR(C32="",D32=""),"",ROUND(MOD(D32-C32,1)*24-N(E32)/60,2))</f>
        <v>8</v>
      </c>
      <c r="G32" s="16" t="n">
        <f aca="false">IF(OR(C32="",D32=""),"",IF(OR($I$2="",$I$3=""),0,ROUND(24*IF($I$2&gt;$I$3,MAX(0,MIN((C32+MOD(D32-C32,1)),$I$3)-C32)+MAX(0,MIN((C32+MOD(D32-C32,1)),1+$I$3)-MAX(C32,$I$2))+MAX(0,(C32+MOD(D32-C32,1))-MAX(C32,1+$I$2)),MAX(0,MIN((C32+MOD(D32-C32,1)),$I$3)-MAX(C32,$I$2))+MAX(0,MIN((C32+MOD(D32-C32,1)),1+$I$3)-MAX(C32,1+$I$2))),2)))</f>
        <v>0</v>
      </c>
      <c r="H32" s="17"/>
      <c r="I32" s="16" t="n">
        <f aca="false">IF(F32="","",IF(AND(K32="DP",N(J32)=0),F32,0))</f>
        <v>0</v>
      </c>
      <c r="J32" s="16" t="n">
        <f aca="false">IF(F32="","",IF(OR(K32="ŠD",COUNTIF(Žymėjimai!$A$16:$A$35,A32)&gt;0),F32,0))</f>
        <v>0</v>
      </c>
      <c r="K32" s="18" t="s">
        <v>26</v>
      </c>
      <c r="L32" s="19"/>
    </row>
    <row r="33" customFormat="false" ht="15" hidden="false" customHeight="false" outlineLevel="0" collapsed="false">
      <c r="A33" s="9" t="n">
        <f aca="false">IF(A32="","",IF(A32+1&gt;$F$4,"",A32+1))</f>
        <v>46106</v>
      </c>
      <c r="B33" s="12" t="str">
        <f aca="false">IF(A33="","",CHOOSE(WEEKDAY(A33,2),"Pr","An","Tr","Kt","Pn","Št","Sk"))</f>
        <v>Tr</v>
      </c>
      <c r="C33" s="13" t="n">
        <v>0.333333333333333</v>
      </c>
      <c r="D33" s="13" t="n">
        <v>0.708333333333333</v>
      </c>
      <c r="E33" s="14" t="n">
        <v>60</v>
      </c>
      <c r="F33" s="15" t="n">
        <f aca="false">IF(OR(C33="",D33=""),"",ROUND(MOD(D33-C33,1)*24-N(E33)/60,2))</f>
        <v>8</v>
      </c>
      <c r="G33" s="16" t="n">
        <f aca="false">IF(OR(C33="",D33=""),"",IF(OR($I$2="",$I$3=""),0,ROUND(24*IF($I$2&gt;$I$3,MAX(0,MIN((C33+MOD(D33-C33,1)),$I$3)-C33)+MAX(0,MIN((C33+MOD(D33-C33,1)),1+$I$3)-MAX(C33,$I$2))+MAX(0,(C33+MOD(D33-C33,1))-MAX(C33,1+$I$2)),MAX(0,MIN((C33+MOD(D33-C33,1)),$I$3)-MAX(C33,$I$2))+MAX(0,MIN((C33+MOD(D33-C33,1)),1+$I$3)-MAX(C33,1+$I$2))),2)))</f>
        <v>0</v>
      </c>
      <c r="H33" s="17"/>
      <c r="I33" s="16" t="n">
        <f aca="false">IF(F33="","",IF(AND(K33="DP",N(J33)=0),F33,0))</f>
        <v>0</v>
      </c>
      <c r="J33" s="16" t="n">
        <f aca="false">IF(F33="","",IF(OR(K33="ŠD",COUNTIF(Žymėjimai!$A$16:$A$35,A33)&gt;0),F33,0))</f>
        <v>0</v>
      </c>
      <c r="K33" s="18" t="s">
        <v>26</v>
      </c>
      <c r="L33" s="19"/>
    </row>
    <row r="34" customFormat="false" ht="15" hidden="false" customHeight="false" outlineLevel="0" collapsed="false">
      <c r="A34" s="9" t="n">
        <f aca="false">IF(A33="","",IF(A33+1&gt;$F$4,"",A33+1))</f>
        <v>46107</v>
      </c>
      <c r="B34" s="12" t="str">
        <f aca="false">IF(A34="","",CHOOSE(WEEKDAY(A34,2),"Pr","An","Tr","Kt","Pn","Št","Sk"))</f>
        <v>Kt</v>
      </c>
      <c r="C34" s="13" t="n">
        <v>0.333333333333333</v>
      </c>
      <c r="D34" s="13" t="n">
        <v>0.708333333333333</v>
      </c>
      <c r="E34" s="14" t="n">
        <v>60</v>
      </c>
      <c r="F34" s="15" t="n">
        <f aca="false">IF(OR(C34="",D34=""),"",ROUND(MOD(D34-C34,1)*24-N(E34)/60,2))</f>
        <v>8</v>
      </c>
      <c r="G34" s="16" t="n">
        <f aca="false">IF(OR(C34="",D34=""),"",IF(OR($I$2="",$I$3=""),0,ROUND(24*IF($I$2&gt;$I$3,MAX(0,MIN((C34+MOD(D34-C34,1)),$I$3)-C34)+MAX(0,MIN((C34+MOD(D34-C34,1)),1+$I$3)-MAX(C34,$I$2))+MAX(0,(C34+MOD(D34-C34,1))-MAX(C34,1+$I$2)),MAX(0,MIN((C34+MOD(D34-C34,1)),$I$3)-MAX(C34,$I$2))+MAX(0,MIN((C34+MOD(D34-C34,1)),1+$I$3)-MAX(C34,1+$I$2))),2)))</f>
        <v>0</v>
      </c>
      <c r="H34" s="17"/>
      <c r="I34" s="16" t="n">
        <f aca="false">IF(F34="","",IF(AND(K34="DP",N(J34)=0),F34,0))</f>
        <v>0</v>
      </c>
      <c r="J34" s="16" t="n">
        <f aca="false">IF(F34="","",IF(OR(K34="ŠD",COUNTIF(Žymėjimai!$A$16:$A$35,A34)&gt;0),F34,0))</f>
        <v>0</v>
      </c>
      <c r="K34" s="18" t="s">
        <v>35</v>
      </c>
      <c r="L34" s="19" t="s">
        <v>36</v>
      </c>
    </row>
    <row r="35" customFormat="false" ht="15" hidden="false" customHeight="false" outlineLevel="0" collapsed="false">
      <c r="A35" s="9" t="n">
        <f aca="false">IF(A34="","",IF(A34+1&gt;$F$4,"",A34+1))</f>
        <v>46108</v>
      </c>
      <c r="B35" s="12" t="str">
        <f aca="false">IF(A35="","",CHOOSE(WEEKDAY(A35,2),"Pr","An","Tr","Kt","Pn","Št","Sk"))</f>
        <v>Pn</v>
      </c>
      <c r="C35" s="13" t="n">
        <v>0.333333333333333</v>
      </c>
      <c r="D35" s="13" t="n">
        <v>0.708333333333333</v>
      </c>
      <c r="E35" s="14" t="n">
        <v>60</v>
      </c>
      <c r="F35" s="15" t="n">
        <f aca="false">IF(OR(C35="",D35=""),"",ROUND(MOD(D35-C35,1)*24-N(E35)/60,2))</f>
        <v>8</v>
      </c>
      <c r="G35" s="16" t="n">
        <f aca="false">IF(OR(C35="",D35=""),"",IF(OR($I$2="",$I$3=""),0,ROUND(24*IF($I$2&gt;$I$3,MAX(0,MIN((C35+MOD(D35-C35,1)),$I$3)-C35)+MAX(0,MIN((C35+MOD(D35-C35,1)),1+$I$3)-MAX(C35,$I$2))+MAX(0,(C35+MOD(D35-C35,1))-MAX(C35,1+$I$2)),MAX(0,MIN((C35+MOD(D35-C35,1)),$I$3)-MAX(C35,$I$2))+MAX(0,MIN((C35+MOD(D35-C35,1)),1+$I$3)-MAX(C35,1+$I$2))),2)))</f>
        <v>0</v>
      </c>
      <c r="H35" s="17"/>
      <c r="I35" s="16" t="n">
        <f aca="false">IF(F35="","",IF(AND(K35="DP",N(J35)=0),F35,0))</f>
        <v>0</v>
      </c>
      <c r="J35" s="16" t="n">
        <f aca="false">IF(F35="","",IF(OR(K35="ŠD",COUNTIF(Žymėjimai!$A$16:$A$35,A35)&gt;0),F35,0))</f>
        <v>0</v>
      </c>
      <c r="K35" s="18" t="s">
        <v>26</v>
      </c>
      <c r="L35" s="19"/>
    </row>
    <row r="36" customFormat="false" ht="15" hidden="false" customHeight="false" outlineLevel="0" collapsed="false">
      <c r="A36" s="9" t="n">
        <f aca="false">IF(A35="","",IF(A35+1&gt;$F$4,"",A35+1))</f>
        <v>46109</v>
      </c>
      <c r="B36" s="12" t="str">
        <f aca="false">IF(A36="","",CHOOSE(WEEKDAY(A36,2),"Pr","An","Tr","Kt","Pn","Št","Sk"))</f>
        <v>Št</v>
      </c>
      <c r="C36" s="13"/>
      <c r="D36" s="13"/>
      <c r="E36" s="14"/>
      <c r="F36" s="15" t="str">
        <f aca="false">IF(OR(C36="",D36=""),"",ROUND(MOD(D36-C36,1)*24-N(E36)/60,2))</f>
        <v/>
      </c>
      <c r="G36" s="16" t="str">
        <f aca="false">IF(OR(C36="",D36=""),"",IF(OR($I$2="",$I$3=""),0,ROUND(24*IF($I$2&gt;$I$3,MAX(0,MIN((C36+MOD(D36-C36,1)),$I$3)-C36)+MAX(0,MIN((C36+MOD(D36-C36,1)),1+$I$3)-MAX(C36,$I$2))+MAX(0,(C36+MOD(D36-C36,1))-MAX(C36,1+$I$2)),MAX(0,MIN((C36+MOD(D36-C36,1)),$I$3)-MAX(C36,$I$2))+MAX(0,MIN((C36+MOD(D36-C36,1)),1+$I$3)-MAX(C36,1+$I$2))),2)))</f>
        <v/>
      </c>
      <c r="H36" s="17"/>
      <c r="I36" s="16" t="str">
        <f aca="false">IF(F36="","",IF(AND(K36="DP",N(J36)=0),F36,0))</f>
        <v/>
      </c>
      <c r="J36" s="16" t="str">
        <f aca="false">IF(F36="","",IF(OR(K36="ŠD",COUNTIF(Žymėjimai!$A$16:$A$35,A36)&gt;0),F36,0))</f>
        <v/>
      </c>
      <c r="K36" s="18"/>
      <c r="L36" s="19"/>
    </row>
    <row r="37" customFormat="false" ht="15" hidden="false" customHeight="false" outlineLevel="0" collapsed="false">
      <c r="A37" s="9" t="n">
        <f aca="false">IF(A36="","",IF(A36+1&gt;$F$4,"",A36+1))</f>
        <v>46110</v>
      </c>
      <c r="B37" s="12" t="str">
        <f aca="false">IF(A37="","",CHOOSE(WEEKDAY(A37,2),"Pr","An","Tr","Kt","Pn","Št","Sk"))</f>
        <v>Sk</v>
      </c>
      <c r="C37" s="13"/>
      <c r="D37" s="13"/>
      <c r="E37" s="14"/>
      <c r="F37" s="15" t="str">
        <f aca="false">IF(OR(C37="",D37=""),"",ROUND(MOD(D37-C37,1)*24-N(E37)/60,2))</f>
        <v/>
      </c>
      <c r="G37" s="16" t="str">
        <f aca="false">IF(OR(C37="",D37=""),"",IF(OR($I$2="",$I$3=""),0,ROUND(24*IF($I$2&gt;$I$3,MAX(0,MIN((C37+MOD(D37-C37,1)),$I$3)-C37)+MAX(0,MIN((C37+MOD(D37-C37,1)),1+$I$3)-MAX(C37,$I$2))+MAX(0,(C37+MOD(D37-C37,1))-MAX(C37,1+$I$2)),MAX(0,MIN((C37+MOD(D37-C37,1)),$I$3)-MAX(C37,$I$2))+MAX(0,MIN((C37+MOD(D37-C37,1)),1+$I$3)-MAX(C37,1+$I$2))),2)))</f>
        <v/>
      </c>
      <c r="H37" s="17"/>
      <c r="I37" s="16" t="str">
        <f aca="false">IF(F37="","",IF(AND(K37="DP",N(J37)=0),F37,0))</f>
        <v/>
      </c>
      <c r="J37" s="16" t="str">
        <f aca="false">IF(F37="","",IF(OR(K37="ŠD",COUNTIF(Žymėjimai!$A$16:$A$35,A37)&gt;0),F37,0))</f>
        <v/>
      </c>
      <c r="K37" s="18"/>
      <c r="L37" s="19"/>
    </row>
    <row r="38" customFormat="false" ht="15" hidden="false" customHeight="false" outlineLevel="0" collapsed="false">
      <c r="A38" s="9" t="n">
        <f aca="false">IF(A37="","",IF(A37+1&gt;$F$4,"",A37+1))</f>
        <v>46111</v>
      </c>
      <c r="B38" s="12" t="str">
        <f aca="false">IF(A38="","",CHOOSE(WEEKDAY(A38,2),"Pr","An","Tr","Kt","Pn","Št","Sk"))</f>
        <v>Pr</v>
      </c>
      <c r="C38" s="13"/>
      <c r="D38" s="13"/>
      <c r="E38" s="14"/>
      <c r="F38" s="15" t="str">
        <f aca="false">IF(OR(C38="",D38=""),"",ROUND(MOD(D38-C38,1)*24-N(E38)/60,2))</f>
        <v/>
      </c>
      <c r="G38" s="16" t="str">
        <f aca="false">IF(OR(C38="",D38=""),"",IF(OR($I$2="",$I$3=""),0,ROUND(24*IF($I$2&gt;$I$3,MAX(0,MIN((C38+MOD(D38-C38,1)),$I$3)-C38)+MAX(0,MIN((C38+MOD(D38-C38,1)),1+$I$3)-MAX(C38,$I$2))+MAX(0,(C38+MOD(D38-C38,1))-MAX(C38,1+$I$2)),MAX(0,MIN((C38+MOD(D38-C38,1)),$I$3)-MAX(C38,$I$2))+MAX(0,MIN((C38+MOD(D38-C38,1)),1+$I$3)-MAX(C38,1+$I$2))),2)))</f>
        <v/>
      </c>
      <c r="H38" s="17"/>
      <c r="I38" s="16" t="str">
        <f aca="false">IF(F38="","",IF(AND(K38="DP",N(J38)=0),F38,0))</f>
        <v/>
      </c>
      <c r="J38" s="16" t="str">
        <f aca="false">IF(F38="","",IF(OR(K38="ŠD",COUNTIF(Žymėjimai!$A$16:$A$35,A38)&gt;0),F38,0))</f>
        <v/>
      </c>
      <c r="K38" s="18" t="s">
        <v>37</v>
      </c>
      <c r="L38" s="19" t="s">
        <v>38</v>
      </c>
    </row>
    <row r="39" customFormat="false" ht="15" hidden="false" customHeight="false" outlineLevel="0" collapsed="false">
      <c r="A39" s="9" t="n">
        <f aca="false">IF(A38="","",IF(A38+1&gt;$F$4,"",A38+1))</f>
        <v>46112</v>
      </c>
      <c r="B39" s="12" t="str">
        <f aca="false">IF(A39="","",CHOOSE(WEEKDAY(A39,2),"Pr","An","Tr","Kt","Pn","Št","Sk"))</f>
        <v>An</v>
      </c>
      <c r="C39" s="13" t="n">
        <v>0.333333333333333</v>
      </c>
      <c r="D39" s="13" t="n">
        <v>0.708333333333333</v>
      </c>
      <c r="E39" s="14" t="n">
        <v>60</v>
      </c>
      <c r="F39" s="15" t="n">
        <f aca="false">IF(OR(C39="",D39=""),"",ROUND(MOD(D39-C39,1)*24-N(E39)/60,2))</f>
        <v>8</v>
      </c>
      <c r="G39" s="16" t="n">
        <f aca="false">IF(OR(C39="",D39=""),"",IF(OR($I$2="",$I$3=""),0,ROUND(24*IF($I$2&gt;$I$3,MAX(0,MIN((C39+MOD(D39-C39,1)),$I$3)-C39)+MAX(0,MIN((C39+MOD(D39-C39,1)),1+$I$3)-MAX(C39,$I$2))+MAX(0,(C39+MOD(D39-C39,1))-MAX(C39,1+$I$2)),MAX(0,MIN((C39+MOD(D39-C39,1)),$I$3)-MAX(C39,$I$2))+MAX(0,MIN((C39+MOD(D39-C39,1)),1+$I$3)-MAX(C39,1+$I$2))),2)))</f>
        <v>0</v>
      </c>
      <c r="H39" s="17"/>
      <c r="I39" s="16" t="n">
        <f aca="false">IF(F39="","",IF(AND(K39="DP",N(J39)=0),F39,0))</f>
        <v>0</v>
      </c>
      <c r="J39" s="16" t="n">
        <f aca="false">IF(F39="","",IF(OR(K39="ŠD",COUNTIF(Žymėjimai!$A$16:$A$35,A39)&gt;0),F39,0))</f>
        <v>0</v>
      </c>
      <c r="K39" s="18" t="s">
        <v>26</v>
      </c>
      <c r="L39" s="19"/>
    </row>
    <row r="40" customFormat="false" ht="15" hidden="false" customHeight="false" outlineLevel="0" collapsed="false">
      <c r="A40" s="20" t="s">
        <v>39</v>
      </c>
      <c r="B40" s="20"/>
      <c r="C40" s="20"/>
      <c r="D40" s="20"/>
      <c r="E40" s="20"/>
      <c r="F40" s="21" t="n">
        <f aca="false">SUM(F9:F39)</f>
        <v>176</v>
      </c>
      <c r="G40" s="21" t="n">
        <f aca="false">SUM(G9:G39)</f>
        <v>0</v>
      </c>
      <c r="H40" s="21" t="n">
        <f aca="false">SUM(H9:H39)</f>
        <v>0</v>
      </c>
      <c r="I40" s="21" t="n">
        <f aca="false">SUM(I9:I39)</f>
        <v>8</v>
      </c>
      <c r="J40" s="21" t="n">
        <f aca="false">SUM(J9:J39)</f>
        <v>8</v>
      </c>
      <c r="K40" s="22" t="n">
        <f aca="false">COUNTIF(F9:F39,"&gt;0")</f>
        <v>22</v>
      </c>
      <c r="L40" s="23" t="s">
        <v>40</v>
      </c>
    </row>
    <row r="42" customFormat="false" ht="15" hidden="false" customHeight="false" outlineLevel="0" collapsed="false">
      <c r="A42" s="7" t="s">
        <v>41</v>
      </c>
    </row>
    <row r="43" customFormat="false" ht="15" hidden="false" customHeight="false" outlineLevel="0" collapsed="false">
      <c r="A43" s="7" t="s">
        <v>42</v>
      </c>
    </row>
    <row r="44" customFormat="false" ht="15" hidden="false" customHeight="false" outlineLevel="0" collapsed="false">
      <c r="A44" s="7" t="s">
        <v>43</v>
      </c>
    </row>
    <row r="45" customFormat="false" ht="15" hidden="false" customHeight="false" outlineLevel="0" collapsed="false">
      <c r="A45" s="7" t="s">
        <v>44</v>
      </c>
    </row>
    <row r="46" customFormat="false" ht="15" hidden="false" customHeight="false" outlineLevel="0" collapsed="false">
      <c r="A46" s="7" t="s">
        <v>45</v>
      </c>
    </row>
    <row r="47" customFormat="false" ht="15" hidden="false" customHeight="false" outlineLevel="0" collapsed="false">
      <c r="A47" s="7" t="s">
        <v>46</v>
      </c>
    </row>
  </sheetData>
  <sheetProtection sheet="true"/>
  <mergeCells count="11">
    <mergeCell ref="A2:B2"/>
    <mergeCell ref="C2:E2"/>
    <mergeCell ref="G2:H2"/>
    <mergeCell ref="A3:B3"/>
    <mergeCell ref="C3:E3"/>
    <mergeCell ref="G3:H3"/>
    <mergeCell ref="A4:B4"/>
    <mergeCell ref="C4:E4"/>
    <mergeCell ref="A5:B5"/>
    <mergeCell ref="C5:E5"/>
    <mergeCell ref="A40:E40"/>
  </mergeCells>
  <conditionalFormatting sqref="A9:L39">
    <cfRule type="expression" priority="2" aboveAverage="0" equalAverage="0" bottom="0" percent="0" rank="0" text="" dxfId="0">
      <formula>AND(ISNUMBER($A9),COUNTIF(Žymėjimai!$A$16:$A$35,$A9)&gt;0)</formula>
    </cfRule>
    <cfRule type="expression" priority="3" aboveAverage="0" equalAverage="0" bottom="0" percent="0" rank="0" text="" dxfId="1">
      <formula>AND(ISNUMBER($A9),WEEKDAY($A9,2)&gt;5)</formula>
    </cfRule>
  </conditionalFormatting>
  <dataValidations count="3">
    <dataValidation allowBlank="true" error="Pasirinkite žymėjimą iš sąrašo." errorStyle="stop" errorTitle="Žymėjimas" operator="between" showDropDown="false" showErrorMessage="true" showInputMessage="false" sqref="K9:K39" type="list">
      <formula1>Žymėjimai!$A$4:$A$12</formula1>
      <formula2>0</formula2>
    </dataValidation>
    <dataValidation allowBlank="true" error="Įrašykite pertrauką minutėmis (pvz., 30)." errorStyle="stop" errorTitle="Pertrauka" operator="between" showDropDown="false" showErrorMessage="true" showInputMessage="false" sqref="E9:E39" type="whole">
      <formula1>0</formula1>
      <formula2>600</formula2>
    </dataValidation>
    <dataValidation allowBlank="false" errorStyle="stop" operator="between" showDropDown="false" showErrorMessage="false" showInputMessage="false" sqref="C5" type="list">
      <formula1>"Standartinis,Suminė apskaita"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47</v>
      </c>
      <c r="E1" s="2" t="s">
        <v>1</v>
      </c>
    </row>
    <row r="2" customFormat="false" ht="15" hidden="false" customHeight="false" outlineLevel="0" collapsed="false">
      <c r="A2" s="7" t="s">
        <v>48</v>
      </c>
    </row>
    <row r="3" customFormat="false" ht="30" hidden="false" customHeight="true" outlineLevel="0" collapsed="false">
      <c r="A3" s="11" t="s">
        <v>49</v>
      </c>
      <c r="B3" s="11" t="s">
        <v>50</v>
      </c>
      <c r="C3" s="11" t="s">
        <v>51</v>
      </c>
      <c r="D3" s="10" t="s">
        <v>52</v>
      </c>
    </row>
    <row r="4" customFormat="false" ht="15" hidden="false" customHeight="false" outlineLevel="0" collapsed="false">
      <c r="A4" s="24" t="s">
        <v>26</v>
      </c>
      <c r="B4" s="25" t="s">
        <v>53</v>
      </c>
      <c r="C4" s="26" t="s">
        <v>54</v>
      </c>
      <c r="D4" s="27" t="n">
        <f aca="false">COUNTIF(Žiniaraštis!$K$9:$K$39,A4)</f>
        <v>19</v>
      </c>
    </row>
    <row r="5" customFormat="false" ht="15" hidden="false" customHeight="false" outlineLevel="0" collapsed="false">
      <c r="A5" s="24" t="s">
        <v>55</v>
      </c>
      <c r="B5" s="25" t="s">
        <v>56</v>
      </c>
      <c r="C5" s="26" t="s">
        <v>54</v>
      </c>
      <c r="D5" s="27" t="n">
        <f aca="false">COUNTIF(Žiniaraštis!$K$9:$K$39,A5)</f>
        <v>0</v>
      </c>
    </row>
    <row r="6" customFormat="false" ht="15" hidden="false" customHeight="false" outlineLevel="0" collapsed="false">
      <c r="A6" s="24" t="s">
        <v>57</v>
      </c>
      <c r="B6" s="25" t="s">
        <v>58</v>
      </c>
      <c r="C6" s="26" t="s">
        <v>54</v>
      </c>
      <c r="D6" s="27" t="n">
        <f aca="false">COUNTIF(Žiniaraštis!$K$9:$K$39,A6)</f>
        <v>0</v>
      </c>
    </row>
    <row r="7" customFormat="false" ht="15" hidden="false" customHeight="false" outlineLevel="0" collapsed="false">
      <c r="A7" s="24" t="s">
        <v>30</v>
      </c>
      <c r="B7" s="25" t="s">
        <v>59</v>
      </c>
      <c r="C7" s="26" t="s">
        <v>54</v>
      </c>
      <c r="D7" s="27" t="n">
        <f aca="false">COUNTIF(Žiniaraštis!$K$9:$K$39,A7)</f>
        <v>1</v>
      </c>
    </row>
    <row r="8" customFormat="false" ht="15" hidden="false" customHeight="false" outlineLevel="0" collapsed="false">
      <c r="A8" s="24" t="s">
        <v>27</v>
      </c>
      <c r="B8" s="25" t="s">
        <v>60</v>
      </c>
      <c r="C8" s="26" t="s">
        <v>54</v>
      </c>
      <c r="D8" s="27" t="n">
        <f aca="false">COUNTIF(Žiniaraštis!$K$9:$K$39,A8)</f>
        <v>1</v>
      </c>
    </row>
    <row r="9" customFormat="false" ht="15" hidden="false" customHeight="false" outlineLevel="0" collapsed="false">
      <c r="A9" s="24" t="s">
        <v>37</v>
      </c>
      <c r="B9" s="25" t="s">
        <v>61</v>
      </c>
      <c r="C9" s="26" t="s">
        <v>62</v>
      </c>
      <c r="D9" s="27" t="n">
        <f aca="false">COUNTIF(Žiniaraštis!$K$9:$K$39,A9)</f>
        <v>1</v>
      </c>
    </row>
    <row r="10" customFormat="false" ht="15" hidden="false" customHeight="false" outlineLevel="0" collapsed="false">
      <c r="A10" s="24" t="s">
        <v>63</v>
      </c>
      <c r="B10" s="25" t="s">
        <v>64</v>
      </c>
      <c r="C10" s="26" t="s">
        <v>62</v>
      </c>
      <c r="D10" s="27" t="n">
        <f aca="false">COUNTIF(Žiniaraštis!$K$9:$K$39,A10)</f>
        <v>0</v>
      </c>
    </row>
    <row r="11" customFormat="false" ht="15" hidden="false" customHeight="false" outlineLevel="0" collapsed="false">
      <c r="A11" s="24" t="s">
        <v>65</v>
      </c>
      <c r="B11" s="25" t="s">
        <v>66</v>
      </c>
      <c r="C11" s="26" t="s">
        <v>62</v>
      </c>
      <c r="D11" s="27" t="n">
        <f aca="false">COUNTIF(Žiniaraštis!$K$9:$K$39,A11)</f>
        <v>0</v>
      </c>
    </row>
    <row r="12" customFormat="false" ht="15" hidden="false" customHeight="false" outlineLevel="0" collapsed="false">
      <c r="A12" s="24" t="s">
        <v>35</v>
      </c>
      <c r="B12" s="25" t="s">
        <v>67</v>
      </c>
      <c r="C12" s="26" t="s">
        <v>68</v>
      </c>
      <c r="D12" s="27" t="n">
        <f aca="false">COUNTIF(Žiniaraštis!$K$9:$K$39,A12)</f>
        <v>1</v>
      </c>
    </row>
    <row r="14" customFormat="false" ht="15" hidden="false" customHeight="false" outlineLevel="0" collapsed="false">
      <c r="A14" s="28" t="s">
        <v>69</v>
      </c>
    </row>
    <row r="15" customFormat="false" ht="15" hidden="false" customHeight="true" outlineLevel="0" collapsed="false">
      <c r="A15" s="11" t="s">
        <v>14</v>
      </c>
      <c r="B15" s="11" t="s">
        <v>70</v>
      </c>
      <c r="C15" s="11"/>
    </row>
    <row r="16" customFormat="false" ht="15" hidden="false" customHeight="false" outlineLevel="0" collapsed="false">
      <c r="A16" s="29" t="n">
        <v>46092</v>
      </c>
      <c r="B16" s="25" t="s">
        <v>71</v>
      </c>
      <c r="C16" s="25"/>
    </row>
    <row r="17" customFormat="false" ht="15" hidden="false" customHeight="false" outlineLevel="0" collapsed="false">
      <c r="A17" s="29"/>
      <c r="B17" s="25"/>
      <c r="C17" s="25"/>
    </row>
    <row r="18" customFormat="false" ht="15" hidden="false" customHeight="false" outlineLevel="0" collapsed="false">
      <c r="A18" s="29"/>
      <c r="B18" s="25"/>
      <c r="C18" s="25"/>
    </row>
    <row r="19" customFormat="false" ht="15" hidden="false" customHeight="false" outlineLevel="0" collapsed="false">
      <c r="A19" s="29"/>
      <c r="B19" s="25"/>
      <c r="C19" s="25"/>
    </row>
    <row r="20" customFormat="false" ht="15" hidden="false" customHeight="false" outlineLevel="0" collapsed="false">
      <c r="A20" s="29"/>
      <c r="B20" s="25"/>
      <c r="C20" s="25"/>
    </row>
    <row r="21" customFormat="false" ht="15" hidden="false" customHeight="false" outlineLevel="0" collapsed="false">
      <c r="A21" s="29"/>
      <c r="B21" s="25"/>
      <c r="C21" s="25"/>
    </row>
    <row r="22" customFormat="false" ht="15" hidden="false" customHeight="false" outlineLevel="0" collapsed="false">
      <c r="A22" s="29"/>
      <c r="B22" s="25"/>
      <c r="C22" s="25"/>
    </row>
    <row r="23" customFormat="false" ht="15" hidden="false" customHeight="false" outlineLevel="0" collapsed="false">
      <c r="A23" s="29"/>
      <c r="B23" s="25"/>
      <c r="C23" s="25"/>
    </row>
    <row r="24" customFormat="false" ht="15" hidden="false" customHeight="false" outlineLevel="0" collapsed="false">
      <c r="A24" s="29"/>
      <c r="B24" s="25"/>
      <c r="C24" s="25"/>
    </row>
    <row r="25" customFormat="false" ht="15" hidden="false" customHeight="false" outlineLevel="0" collapsed="false">
      <c r="A25" s="29"/>
      <c r="B25" s="25"/>
      <c r="C25" s="25"/>
    </row>
    <row r="26" customFormat="false" ht="15" hidden="false" customHeight="false" outlineLevel="0" collapsed="false">
      <c r="A26" s="29"/>
      <c r="B26" s="25"/>
      <c r="C26" s="25"/>
    </row>
    <row r="27" customFormat="false" ht="15" hidden="false" customHeight="false" outlineLevel="0" collapsed="false">
      <c r="A27" s="29"/>
      <c r="B27" s="25"/>
      <c r="C27" s="25"/>
    </row>
    <row r="28" customFormat="false" ht="15" hidden="false" customHeight="false" outlineLevel="0" collapsed="false">
      <c r="A28" s="29"/>
      <c r="B28" s="25"/>
      <c r="C28" s="25"/>
    </row>
    <row r="29" customFormat="false" ht="15" hidden="false" customHeight="false" outlineLevel="0" collapsed="false">
      <c r="A29" s="29"/>
      <c r="B29" s="25"/>
      <c r="C29" s="25"/>
    </row>
    <row r="30" customFormat="false" ht="15" hidden="false" customHeight="false" outlineLevel="0" collapsed="false">
      <c r="A30" s="29"/>
      <c r="B30" s="25"/>
      <c r="C30" s="25"/>
    </row>
    <row r="31" customFormat="false" ht="15" hidden="false" customHeight="false" outlineLevel="0" collapsed="false">
      <c r="A31" s="29"/>
      <c r="B31" s="25"/>
      <c r="C31" s="25"/>
    </row>
    <row r="32" customFormat="false" ht="15" hidden="false" customHeight="false" outlineLevel="0" collapsed="false">
      <c r="A32" s="29"/>
      <c r="B32" s="25"/>
      <c r="C32" s="25"/>
    </row>
    <row r="33" customFormat="false" ht="15" hidden="false" customHeight="false" outlineLevel="0" collapsed="false">
      <c r="A33" s="29"/>
      <c r="B33" s="25"/>
      <c r="C33" s="25"/>
    </row>
    <row r="34" customFormat="false" ht="15" hidden="false" customHeight="false" outlineLevel="0" collapsed="false">
      <c r="A34" s="29"/>
      <c r="B34" s="25"/>
      <c r="C34" s="25"/>
    </row>
    <row r="35" customFormat="false" ht="15" hidden="false" customHeight="false" outlineLevel="0" collapsed="false">
      <c r="A35" s="29"/>
      <c r="B35" s="25"/>
      <c r="C35" s="25"/>
    </row>
    <row r="37" customFormat="false" ht="15" hidden="false" customHeight="false" outlineLevel="0" collapsed="false">
      <c r="A37" s="7" t="s">
        <v>72</v>
      </c>
    </row>
    <row r="38" customFormat="false" ht="15" hidden="false" customHeight="false" outlineLevel="0" collapsed="false">
      <c r="A38" s="7" t="s">
        <v>73</v>
      </c>
    </row>
  </sheetData>
  <sheetProtection sheet="true"/>
  <mergeCells count="21"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5" min="4" style="0" width="8"/>
    <col collapsed="false" customWidth="true" hidden="false" outlineLevel="0" max="6" min="6" style="0" width="9"/>
    <col collapsed="false" customWidth="true" hidden="false" outlineLevel="0" max="7" min="7" style="0" width="9.51"/>
    <col collapsed="false" customWidth="true" hidden="false" outlineLevel="0" max="8" min="8" style="0" width="8"/>
    <col collapsed="false" customWidth="true" hidden="false" outlineLevel="0" max="10" min="9" style="0" width="11"/>
    <col collapsed="false" customWidth="true" hidden="false" outlineLevel="0" max="11" min="11" style="0" width="10"/>
    <col collapsed="false" customWidth="true" hidden="false" outlineLevel="0" max="12" min="12" style="0" width="12"/>
  </cols>
  <sheetData>
    <row r="1" customFormat="false" ht="17.35" hidden="false" customHeight="false" outlineLevel="0" collapsed="false">
      <c r="A1" s="1" t="s">
        <v>74</v>
      </c>
      <c r="H1" s="2" t="s">
        <v>1</v>
      </c>
    </row>
    <row r="3" customFormat="false" ht="15" hidden="false" customHeight="false" outlineLevel="0" collapsed="false">
      <c r="A3" s="3" t="s">
        <v>75</v>
      </c>
      <c r="B3" s="3"/>
      <c r="C3" s="3"/>
      <c r="D3" s="30"/>
      <c r="E3" s="6" t="s">
        <v>76</v>
      </c>
    </row>
    <row r="4" customFormat="false" ht="15" hidden="false" customHeight="false" outlineLevel="0" collapsed="false">
      <c r="A4" s="3" t="s">
        <v>77</v>
      </c>
      <c r="B4" s="3"/>
      <c r="C4" s="3"/>
      <c r="D4" s="30"/>
      <c r="E4" s="6" t="s">
        <v>76</v>
      </c>
    </row>
    <row r="5" customFormat="false" ht="15" hidden="false" customHeight="false" outlineLevel="0" collapsed="false">
      <c r="A5" s="3" t="s">
        <v>78</v>
      </c>
      <c r="B5" s="3"/>
      <c r="C5" s="3"/>
      <c r="D5" s="30"/>
      <c r="E5" s="6" t="s">
        <v>76</v>
      </c>
    </row>
    <row r="6" customFormat="false" ht="15" hidden="false" customHeight="false" outlineLevel="0" collapsed="false">
      <c r="A6" s="3" t="s">
        <v>79</v>
      </c>
      <c r="B6" s="3"/>
      <c r="C6" s="3"/>
      <c r="D6" s="30"/>
      <c r="E6" s="6" t="s">
        <v>76</v>
      </c>
    </row>
    <row r="7" customFormat="false" ht="15" hidden="false" customHeight="false" outlineLevel="0" collapsed="false">
      <c r="A7" s="7" t="s">
        <v>80</v>
      </c>
    </row>
    <row r="8" customFormat="false" ht="15" hidden="false" customHeight="false" outlineLevel="0" collapsed="false">
      <c r="A8" s="28" t="s">
        <v>81</v>
      </c>
    </row>
    <row r="9" customFormat="false" ht="33.75" hidden="false" customHeight="true" outlineLevel="0" collapsed="false">
      <c r="A9" s="11" t="s">
        <v>82</v>
      </c>
      <c r="B9" s="11" t="s">
        <v>83</v>
      </c>
      <c r="C9" s="11" t="s">
        <v>14</v>
      </c>
      <c r="D9" s="11" t="s">
        <v>16</v>
      </c>
      <c r="E9" s="11" t="s">
        <v>17</v>
      </c>
      <c r="F9" s="11" t="s">
        <v>18</v>
      </c>
      <c r="G9" s="10" t="s">
        <v>84</v>
      </c>
      <c r="H9" s="10" t="s">
        <v>20</v>
      </c>
      <c r="I9" s="10" t="s">
        <v>85</v>
      </c>
      <c r="J9" s="10" t="s">
        <v>86</v>
      </c>
      <c r="K9" s="11" t="s">
        <v>21</v>
      </c>
      <c r="L9" s="10" t="s">
        <v>87</v>
      </c>
    </row>
    <row r="10" customFormat="false" ht="25.5" hidden="false" customHeight="true" outlineLevel="0" collapsed="false">
      <c r="A10" s="31" t="s">
        <v>88</v>
      </c>
      <c r="B10" s="31" t="s">
        <v>89</v>
      </c>
      <c r="C10" s="32" t="n">
        <v>46084</v>
      </c>
      <c r="D10" s="33" t="n">
        <v>0.333333333333333</v>
      </c>
      <c r="E10" s="33" t="n">
        <v>0.708333333333333</v>
      </c>
      <c r="F10" s="34" t="n">
        <v>60</v>
      </c>
      <c r="G10" s="15" t="n">
        <f aca="false">IF(OR(D10="",E10=""),"",ROUND(MOD(E10-D10,1)*24-N(F10)/60,2))</f>
        <v>8</v>
      </c>
      <c r="H10" s="35" t="n">
        <f aca="false">IF(OR(D10="",E10=""),"",IF(OR(Žiniaraštis!$I$2="",Žiniaraštis!$I$3=""),0,ROUND(24*IF(Žiniaraštis!$I$2&gt;Žiniaraštis!$I$3,MAX(0,MIN((D10+MOD(E10-D10,1)),Žiniaraštis!$I$3)-D10)+MAX(0,MIN((D10+MOD(E10-D10,1)),1+Žiniaraštis!$I$3)-MAX(D10,Žiniaraštis!$I$2))+MAX(0,(D10+MOD(E10-D10,1))-MAX(D10,1+Žiniaraštis!$I$2)),MAX(0,MIN((D10+MOD(E10-D10,1)),Žiniaraštis!$I$3)-MAX(D10,Žiniaraštis!$I$2))+MAX(0,MIN((D10+MOD(E10-D10,1)),1+Žiniaraštis!$I$3)-MAX(D10,1+Žiniaraštis!$I$2))),2)))</f>
        <v>0</v>
      </c>
      <c r="I10" s="35" t="n">
        <f aca="false">IF(G10="","",IF(AND(WEEKDAY(C10,2)&gt;5,COUNTIF(Žymėjimai!$A$16:$A$35,C10)=0),G10,0))</f>
        <v>0</v>
      </c>
      <c r="J10" s="35" t="n">
        <f aca="false">IF(G10="","",IF(COUNTIF(Žymėjimai!$A$16:$A$35,C10)&gt;0,G10,0))</f>
        <v>0</v>
      </c>
      <c r="K10" s="36"/>
      <c r="L10" s="15" t="n">
        <f aca="false">IF(G10="","",ROUND(G10+N(H10)*N($D$3)+N(I10)*N($D$4)+N(J10)*N($D$5)+N(K10)*N($D$6),2))</f>
        <v>8</v>
      </c>
    </row>
    <row r="11" customFormat="false" ht="25.5" hidden="false" customHeight="true" outlineLevel="0" collapsed="false">
      <c r="A11" s="31" t="s">
        <v>90</v>
      </c>
      <c r="B11" s="31" t="s">
        <v>91</v>
      </c>
      <c r="C11" s="32" t="n">
        <v>46086</v>
      </c>
      <c r="D11" s="33" t="n">
        <v>0.75</v>
      </c>
      <c r="E11" s="33" t="n">
        <v>0.0833333333333333</v>
      </c>
      <c r="F11" s="34" t="n">
        <v>0</v>
      </c>
      <c r="G11" s="15" t="n">
        <f aca="false">IF(OR(D11="",E11=""),"",ROUND(MOD(E11-D11,1)*24-N(F11)/60,2))</f>
        <v>8</v>
      </c>
      <c r="H11" s="35" t="n">
        <f aca="false">IF(OR(D11="",E11=""),"",IF(OR(Žiniaraštis!$I$2="",Žiniaraštis!$I$3=""),0,ROUND(24*IF(Žiniaraštis!$I$2&gt;Žiniaraštis!$I$3,MAX(0,MIN((D11+MOD(E11-D11,1)),Žiniaraštis!$I$3)-D11)+MAX(0,MIN((D11+MOD(E11-D11,1)),1+Žiniaraštis!$I$3)-MAX(D11,Žiniaraštis!$I$2))+MAX(0,(D11+MOD(E11-D11,1))-MAX(D11,1+Žiniaraštis!$I$2)),MAX(0,MIN((D11+MOD(E11-D11,1)),Žiniaraštis!$I$3)-MAX(D11,Žiniaraštis!$I$2))+MAX(0,MIN((D11+MOD(E11-D11,1)),1+Žiniaraštis!$I$3)-MAX(D11,1+Žiniaraštis!$I$2))),2)))</f>
        <v>0</v>
      </c>
      <c r="I11" s="35" t="n">
        <f aca="false">IF(G11="","",IF(AND(WEEKDAY(C11,2)&gt;5,COUNTIF(Žymėjimai!$A$16:$A$35,C11)=0),G11,0))</f>
        <v>0</v>
      </c>
      <c r="J11" s="35" t="n">
        <f aca="false">IF(G11="","",IF(COUNTIF(Žymėjimai!$A$16:$A$35,C11)&gt;0,G11,0))</f>
        <v>0</v>
      </c>
      <c r="K11" s="36"/>
      <c r="L11" s="15" t="n">
        <f aca="false">IF(G11="","",ROUND(G11+N(H11)*N($D$3)+N(I11)*N($D$4)+N(J11)*N($D$5)+N(K11)*N($D$6),2))</f>
        <v>8</v>
      </c>
    </row>
    <row r="12" customFormat="false" ht="25.5" hidden="false" customHeight="true" outlineLevel="0" collapsed="false">
      <c r="A12" s="31" t="s">
        <v>92</v>
      </c>
      <c r="B12" s="31" t="s">
        <v>93</v>
      </c>
      <c r="C12" s="32" t="n">
        <v>46095</v>
      </c>
      <c r="D12" s="33" t="n">
        <v>0.333333333333333</v>
      </c>
      <c r="E12" s="33" t="n">
        <v>0.6875</v>
      </c>
      <c r="F12" s="34" t="n">
        <v>30</v>
      </c>
      <c r="G12" s="15" t="n">
        <f aca="false">IF(OR(D12="",E12=""),"",ROUND(MOD(E12-D12,1)*24-N(F12)/60,2))</f>
        <v>8</v>
      </c>
      <c r="H12" s="35" t="n">
        <f aca="false">IF(OR(D12="",E12=""),"",IF(OR(Žiniaraštis!$I$2="",Žiniaraštis!$I$3=""),0,ROUND(24*IF(Žiniaraštis!$I$2&gt;Žiniaraštis!$I$3,MAX(0,MIN((D12+MOD(E12-D12,1)),Žiniaraštis!$I$3)-D12)+MAX(0,MIN((D12+MOD(E12-D12,1)),1+Žiniaraštis!$I$3)-MAX(D12,Žiniaraštis!$I$2))+MAX(0,(D12+MOD(E12-D12,1))-MAX(D12,1+Žiniaraštis!$I$2)),MAX(0,MIN((D12+MOD(E12-D12,1)),Žiniaraštis!$I$3)-MAX(D12,Žiniaraštis!$I$2))+MAX(0,MIN((D12+MOD(E12-D12,1)),1+Žiniaraštis!$I$3)-MAX(D12,1+Žiniaraštis!$I$2))),2)))</f>
        <v>0</v>
      </c>
      <c r="I12" s="35" t="n">
        <f aca="false">IF(G12="","",IF(AND(WEEKDAY(C12,2)&gt;5,COUNTIF(Žymėjimai!$A$16:$A$35,C12)=0),G12,0))</f>
        <v>8</v>
      </c>
      <c r="J12" s="35" t="n">
        <f aca="false">IF(G12="","",IF(COUNTIF(Žymėjimai!$A$16:$A$35,C12)&gt;0,G12,0))</f>
        <v>0</v>
      </c>
      <c r="K12" s="36"/>
      <c r="L12" s="15" t="n">
        <f aca="false">IF(G12="","",ROUND(G12+N(H12)*N($D$3)+N(I12)*N($D$4)+N(J12)*N($D$5)+N(K12)*N($D$6),2))</f>
        <v>8</v>
      </c>
    </row>
    <row r="13" customFormat="false" ht="25.5" hidden="false" customHeight="true" outlineLevel="0" collapsed="false">
      <c r="A13" s="37" t="s">
        <v>94</v>
      </c>
      <c r="B13" s="37" t="s">
        <v>95</v>
      </c>
      <c r="C13" s="9"/>
      <c r="D13" s="38"/>
      <c r="E13" s="38"/>
      <c r="F13" s="12"/>
      <c r="G13" s="15" t="n">
        <f aca="false">Žiniaraštis!F40</f>
        <v>176</v>
      </c>
      <c r="H13" s="35" t="n">
        <f aca="false">Žiniaraštis!G40</f>
        <v>0</v>
      </c>
      <c r="I13" s="35" t="n">
        <f aca="false">Žiniaraštis!I40</f>
        <v>8</v>
      </c>
      <c r="J13" s="35" t="n">
        <f aca="false">Žiniaraštis!J40</f>
        <v>8</v>
      </c>
      <c r="K13" s="35" t="n">
        <f aca="false">Žiniaraštis!H40</f>
        <v>0</v>
      </c>
      <c r="L13" s="15" t="n">
        <f aca="false">IF(G13="","",ROUND(G13+N(H13)*N($D$3)+N(I13)*N($D$4)+N(J13)*N($D$5)+N(K13)*N($D$6),2))</f>
        <v>176</v>
      </c>
    </row>
    <row r="15" customFormat="false" ht="15" hidden="false" customHeight="false" outlineLevel="0" collapsed="false">
      <c r="A15" s="7" t="s">
        <v>96</v>
      </c>
    </row>
    <row r="17" customFormat="false" ht="15" hidden="false" customHeight="false" outlineLevel="0" collapsed="false">
      <c r="A17" s="28" t="s">
        <v>97</v>
      </c>
    </row>
    <row r="18" customFormat="false" ht="15" hidden="false" customHeight="false" outlineLevel="0" collapsed="false">
      <c r="A18" s="3" t="s">
        <v>98</v>
      </c>
      <c r="B18" s="3"/>
      <c r="C18" s="3"/>
      <c r="D18" s="39" t="n">
        <f aca="false">Žiniaraštis!F40</f>
        <v>176</v>
      </c>
    </row>
    <row r="19" customFormat="false" ht="15" hidden="false" customHeight="false" outlineLevel="0" collapsed="false">
      <c r="A19" s="3" t="s">
        <v>99</v>
      </c>
      <c r="B19" s="3"/>
      <c r="C19" s="3"/>
      <c r="D19" s="40" t="n">
        <v>168</v>
      </c>
      <c r="E19" s="7" t="s">
        <v>100</v>
      </c>
    </row>
    <row r="20" customFormat="false" ht="15" hidden="false" customHeight="false" outlineLevel="0" collapsed="false">
      <c r="A20" s="3" t="s">
        <v>101</v>
      </c>
      <c r="B20" s="3"/>
      <c r="C20" s="3"/>
      <c r="D20" s="41" t="n">
        <f aca="false">D18-D19</f>
        <v>8</v>
      </c>
      <c r="E20" s="7" t="s">
        <v>102</v>
      </c>
    </row>
    <row r="23" customFormat="false" ht="15" hidden="false" customHeight="false" outlineLevel="0" collapsed="false">
      <c r="A23" s="7" t="s">
        <v>103</v>
      </c>
    </row>
  </sheetData>
  <sheetProtection sheet="true"/>
  <mergeCells count="7">
    <mergeCell ref="A3:C3"/>
    <mergeCell ref="A4:C4"/>
    <mergeCell ref="A5:C5"/>
    <mergeCell ref="A6:C6"/>
    <mergeCell ref="A18:C18"/>
    <mergeCell ref="A19:C19"/>
    <mergeCell ref="A20:C20"/>
  </mergeCells>
  <conditionalFormatting sqref="D20">
    <cfRule type="expression" priority="2" aboveAverage="0" equalAverage="0" bottom="0" percent="0" rank="0" text="" dxfId="2">
      <formula>D20&gt;0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4" min="3" style="0" width="7.5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true" outlineLevel="0" max="7" min="7" style="0" width="4"/>
    <col collapsed="false" customWidth="true" hidden="false" outlineLevel="0" max="8" min="8" style="0" width="15"/>
    <col collapsed="false" customWidth="true" hidden="false" outlineLevel="0" max="10" min="9" style="0" width="18"/>
    <col collapsed="false" customWidth="true" hidden="false" outlineLevel="0" max="12" min="11" style="0" width="12"/>
    <col collapsed="false" customWidth="true" hidden="false" outlineLevel="0" max="13" min="13" style="0" width="14"/>
    <col collapsed="false" customWidth="true" hidden="false" outlineLevel="0" max="14" min="14" style="0" width="10"/>
    <col collapsed="false" customWidth="true" hidden="true" outlineLevel="0" max="17" min="16" style="0" width="13"/>
  </cols>
  <sheetData>
    <row r="1" customFormat="false" ht="17.35" hidden="false" customHeight="false" outlineLevel="0" collapsed="false">
      <c r="A1" s="1" t="s">
        <v>104</v>
      </c>
      <c r="J1" s="2" t="s">
        <v>1</v>
      </c>
    </row>
    <row r="2" customFormat="false" ht="15" hidden="false" customHeight="false" outlineLevel="0" collapsed="false">
      <c r="A2" s="42" t="str">
        <f aca="false">"Darbuotojas: "&amp;Žiniaraštis!C3</f>
        <v>Darbuotojas: Rūta Petrauskienė</v>
      </c>
    </row>
    <row r="3" customFormat="false" ht="15" hidden="false" customHeight="false" outlineLevel="0" collapsed="false">
      <c r="H3" s="3" t="s">
        <v>105</v>
      </c>
      <c r="I3" s="3"/>
      <c r="J3" s="3"/>
      <c r="K3" s="3"/>
      <c r="L3" s="43" t="n">
        <v>48</v>
      </c>
      <c r="M3" s="7" t="s">
        <v>106</v>
      </c>
    </row>
    <row r="4" customFormat="false" ht="15" hidden="false" customHeight="false" outlineLevel="0" collapsed="false">
      <c r="H4" s="3" t="s">
        <v>107</v>
      </c>
      <c r="I4" s="3"/>
      <c r="J4" s="3"/>
      <c r="K4" s="3"/>
      <c r="L4" s="43" t="n">
        <v>11</v>
      </c>
      <c r="M4" s="7" t="s">
        <v>108</v>
      </c>
    </row>
    <row r="5" customFormat="false" ht="15" hidden="false" customHeight="false" outlineLevel="0" collapsed="false">
      <c r="H5" s="3" t="s">
        <v>109</v>
      </c>
      <c r="I5" s="3"/>
      <c r="J5" s="3"/>
      <c r="K5" s="3"/>
      <c r="L5" s="43" t="n">
        <v>24</v>
      </c>
      <c r="M5" s="7" t="s">
        <v>110</v>
      </c>
    </row>
    <row r="7" customFormat="false" ht="15" hidden="false" customHeight="false" outlineLevel="0" collapsed="false">
      <c r="A7" s="28" t="s">
        <v>111</v>
      </c>
      <c r="H7" s="28" t="s">
        <v>112</v>
      </c>
    </row>
    <row r="8" customFormat="false" ht="30" hidden="false" customHeight="true" outlineLevel="0" collapsed="false">
      <c r="A8" s="10" t="s">
        <v>14</v>
      </c>
      <c r="B8" s="10" t="s">
        <v>113</v>
      </c>
      <c r="C8" s="10" t="s">
        <v>16</v>
      </c>
      <c r="D8" s="10" t="s">
        <v>17</v>
      </c>
      <c r="E8" s="10" t="s">
        <v>114</v>
      </c>
      <c r="F8" s="10" t="s">
        <v>115</v>
      </c>
      <c r="H8" s="10" t="s">
        <v>116</v>
      </c>
      <c r="I8" s="10" t="s">
        <v>117</v>
      </c>
      <c r="J8" s="10" t="s">
        <v>118</v>
      </c>
      <c r="K8" s="10" t="s">
        <v>119</v>
      </c>
      <c r="L8" s="10" t="s">
        <v>120</v>
      </c>
      <c r="M8" s="10"/>
    </row>
    <row r="9" customFormat="false" ht="16.5" hidden="false" customHeight="true" outlineLevel="0" collapsed="false">
      <c r="A9" s="9" t="n">
        <f aca="false">IF(Žiniaraštis!A9="","",Žiniaraštis!A9)</f>
        <v>46082</v>
      </c>
      <c r="B9" s="12" t="str">
        <f aca="false">IF(Žiniaraštis!B9="","",Žiniaraštis!B9)</f>
        <v>Sk</v>
      </c>
      <c r="C9" s="38" t="str">
        <f aca="false">IF(Žiniaraštis!C9="","",Žiniaraštis!C9)</f>
        <v/>
      </c>
      <c r="D9" s="38" t="str">
        <f aca="false">IF(Žiniaraštis!D9="","",Žiniaraštis!D9)</f>
        <v/>
      </c>
      <c r="E9" s="44"/>
      <c r="F9" s="15" t="str">
        <f aca="false">IF(OR(E9="",C9=""),"",ROUND((A9+C9-E9)*24,2))</f>
        <v/>
      </c>
      <c r="G9" s="45" t="str">
        <f aca="false">IF(OR(A9="",C9="",D9=""),"",A9+C9+MOD(D9-C9,1))</f>
        <v/>
      </c>
      <c r="H9" s="9" t="n">
        <f aca="false">Žiniaraštis!$C$4-WEEKDAY(Žiniaraštis!$C$4,2)+1</f>
        <v>46076</v>
      </c>
      <c r="I9" s="9" t="n">
        <f aca="false">H9+6</f>
        <v>46082</v>
      </c>
      <c r="J9" s="15" t="n">
        <f aca="false">SUMIFS(Žiniaraštis!$F$9:$F$39,Žiniaraštis!$A$9:$A$39,"&gt;="&amp;H9,Žiniaraštis!$A$9:$A$39,"&lt;="&amp;I9)</f>
        <v>0</v>
      </c>
      <c r="K9" s="35" t="str">
        <f aca="false">IF(SUMPRODUCT(($Q$9:$Q$39&gt;=H9)*($Q$9:$Q$39&lt;I9+1)*($P$9:$P$39&gt;0))=0,"",SUMPRODUCT(MAX(($Q$9:$Q$39&gt;=H9)*($Q$9:$Q$39&lt;I9+1)*$P$9:$P$39)))</f>
        <v/>
      </c>
      <c r="L9" s="12" t="str">
        <f aca="false">IF(K9="","nėra duomenų",IF(K9&gt;=$L$5+$L$4,"Taip","Ne"))</f>
        <v>nėra duomenų</v>
      </c>
      <c r="M9" s="12"/>
      <c r="P9" s="0" t="n">
        <f aca="false">IF(ISNUMBER(F9),F9,0)</f>
        <v>0</v>
      </c>
      <c r="Q9" s="0" t="n">
        <f aca="false">IF(ISNUMBER(F9),E9,0)</f>
        <v>0</v>
      </c>
    </row>
    <row r="10" customFormat="false" ht="16.5" hidden="false" customHeight="true" outlineLevel="0" collapsed="false">
      <c r="A10" s="9" t="n">
        <f aca="false">IF(Žiniaraštis!A10="","",Žiniaraštis!A10)</f>
        <v>46083</v>
      </c>
      <c r="B10" s="12" t="str">
        <f aca="false">IF(Žiniaraštis!B10="","",Žiniaraštis!B10)</f>
        <v>Pr</v>
      </c>
      <c r="C10" s="38" t="n">
        <f aca="false">IF(Žiniaraštis!C10="","",Žiniaraštis!C10)</f>
        <v>0.333333333333333</v>
      </c>
      <c r="D10" s="38" t="n">
        <f aca="false">IF(Žiniaraštis!D10="","",Žiniaraštis!D10)</f>
        <v>0.708333333333333</v>
      </c>
      <c r="E10" s="44" t="str">
        <f aca="false">IF(OR(C10="",G9=""),"",G9)</f>
        <v/>
      </c>
      <c r="F10" s="15" t="str">
        <f aca="false">IF(OR(E10="",C10=""),"",ROUND((A10+C10-E10)*24,2))</f>
        <v/>
      </c>
      <c r="G10" s="45" t="n">
        <f aca="false">IF(OR(A10="",C10="",D10=""),G9,A10+C10+MOD(D10-C10,1))</f>
        <v>46083.7083333333</v>
      </c>
      <c r="H10" s="9" t="n">
        <f aca="false">H9+7</f>
        <v>46083</v>
      </c>
      <c r="I10" s="9" t="n">
        <f aca="false">H10+6</f>
        <v>46089</v>
      </c>
      <c r="J10" s="15" t="n">
        <f aca="false">SUMIFS(Žiniaraštis!$F$9:$F$39,Žiniaraštis!$A$9:$A$39,"&gt;="&amp;H10,Žiniaraštis!$A$9:$A$39,"&lt;="&amp;I10)</f>
        <v>40</v>
      </c>
      <c r="K10" s="35" t="n">
        <f aca="false">IF(SUMPRODUCT(($Q$9:$Q$39&gt;=H10)*($Q$9:$Q$39&lt;I10+1)*($P$9:$P$39&gt;0))=0,"",SUMPRODUCT(MAX(($Q$9:$Q$39&gt;=H10)*($Q$9:$Q$39&lt;I10+1)*$P$9:$P$39)))</f>
        <v>63</v>
      </c>
      <c r="L10" s="12" t="str">
        <f aca="false">IF(K10="","nėra duomenų",IF(K10&gt;=$L$5+$L$4,"Taip","Ne"))</f>
        <v>Taip</v>
      </c>
      <c r="M10" s="12"/>
      <c r="P10" s="0" t="n">
        <f aca="false">IF(ISNUMBER(F10),F10,0)</f>
        <v>0</v>
      </c>
      <c r="Q10" s="0" t="n">
        <f aca="false">IF(ISNUMBER(F10),E10,0)</f>
        <v>0</v>
      </c>
    </row>
    <row r="11" customFormat="false" ht="16.5" hidden="false" customHeight="true" outlineLevel="0" collapsed="false">
      <c r="A11" s="9" t="n">
        <f aca="false">IF(Žiniaraštis!A11="","",Žiniaraštis!A11)</f>
        <v>46084</v>
      </c>
      <c r="B11" s="12" t="str">
        <f aca="false">IF(Žiniaraštis!B11="","",Žiniaraštis!B11)</f>
        <v>An</v>
      </c>
      <c r="C11" s="38" t="n">
        <f aca="false">IF(Žiniaraštis!C11="","",Žiniaraštis!C11)</f>
        <v>0.333333333333333</v>
      </c>
      <c r="D11" s="38" t="n">
        <f aca="false">IF(Žiniaraštis!D11="","",Žiniaraštis!D11)</f>
        <v>0.708333333333333</v>
      </c>
      <c r="E11" s="44" t="n">
        <f aca="false">IF(OR(C11="",G10=""),"",G10)</f>
        <v>46083.7083333333</v>
      </c>
      <c r="F11" s="15" t="n">
        <f aca="false">IF(OR(E11="",C11=""),"",ROUND((A11+C11-E11)*24,2))</f>
        <v>15</v>
      </c>
      <c r="G11" s="45" t="n">
        <f aca="false">IF(OR(A11="",C11="",D11=""),G10,A11+C11+MOD(D11-C11,1))</f>
        <v>46084.7083333333</v>
      </c>
      <c r="H11" s="9" t="n">
        <f aca="false">H10+7</f>
        <v>46090</v>
      </c>
      <c r="I11" s="9" t="n">
        <f aca="false">H11+6</f>
        <v>46096</v>
      </c>
      <c r="J11" s="15" t="n">
        <f aca="false">SUMIFS(Žiniaraštis!$F$9:$F$39,Žiniaraštis!$A$9:$A$39,"&gt;="&amp;H11,Žiniaraštis!$A$9:$A$39,"&lt;="&amp;I11)</f>
        <v>48</v>
      </c>
      <c r="K11" s="35" t="n">
        <f aca="false">IF(SUMPRODUCT(($Q$9:$Q$39&gt;=H11)*($Q$9:$Q$39&lt;I11+1)*($P$9:$P$39&gt;0))=0,"",SUMPRODUCT(MAX(($Q$9:$Q$39&gt;=H11)*($Q$9:$Q$39&lt;I11+1)*$P$9:$P$39)))</f>
        <v>39.5</v>
      </c>
      <c r="L11" s="12" t="str">
        <f aca="false">IF(K11="","nėra duomenų",IF(K11&gt;=$L$5+$L$4,"Taip","Ne"))</f>
        <v>Taip</v>
      </c>
      <c r="M11" s="12"/>
      <c r="P11" s="46" t="n">
        <f aca="false">IF(ISNUMBER(F11),F11,0)</f>
        <v>15</v>
      </c>
      <c r="Q11" s="45" t="n">
        <f aca="false">IF(ISNUMBER(F11),E11,0)</f>
        <v>46083.7083333333</v>
      </c>
    </row>
    <row r="12" customFormat="false" ht="16.5" hidden="false" customHeight="true" outlineLevel="0" collapsed="false">
      <c r="A12" s="9" t="n">
        <f aca="false">IF(Žiniaraštis!A12="","",Žiniaraštis!A12)</f>
        <v>46085</v>
      </c>
      <c r="B12" s="12" t="str">
        <f aca="false">IF(Žiniaraštis!B12="","",Žiniaraštis!B12)</f>
        <v>Tr</v>
      </c>
      <c r="C12" s="38" t="n">
        <f aca="false">IF(Žiniaraštis!C12="","",Žiniaraštis!C12)</f>
        <v>0.333333333333333</v>
      </c>
      <c r="D12" s="38" t="n">
        <f aca="false">IF(Žiniaraštis!D12="","",Žiniaraštis!D12)</f>
        <v>0.708333333333333</v>
      </c>
      <c r="E12" s="44" t="n">
        <f aca="false">IF(OR(C12="",G11=""),"",G11)</f>
        <v>46084.7083333333</v>
      </c>
      <c r="F12" s="15" t="n">
        <f aca="false">IF(OR(E12="",C12=""),"",ROUND((A12+C12-E12)*24,2))</f>
        <v>15</v>
      </c>
      <c r="G12" s="45" t="n">
        <f aca="false">IF(OR(A12="",C12="",D12=""),G11,A12+C12+MOD(D12-C12,1))</f>
        <v>46085.7083333333</v>
      </c>
      <c r="H12" s="9" t="n">
        <f aca="false">H11+7</f>
        <v>46097</v>
      </c>
      <c r="I12" s="9" t="n">
        <f aca="false">H12+6</f>
        <v>46103</v>
      </c>
      <c r="J12" s="15" t="n">
        <f aca="false">SUMIFS(Žiniaraštis!$F$9:$F$39,Žiniaraštis!$A$9:$A$39,"&gt;="&amp;H12,Žiniaraštis!$A$9:$A$39,"&lt;="&amp;I12)</f>
        <v>40</v>
      </c>
      <c r="K12" s="35" t="n">
        <f aca="false">IF(SUMPRODUCT(($Q$9:$Q$39&gt;=H12)*($Q$9:$Q$39&lt;I12+1)*($P$9:$P$39&gt;0))=0,"",SUMPRODUCT(MAX(($Q$9:$Q$39&gt;=H12)*($Q$9:$Q$39&lt;I12+1)*$P$9:$P$39)))</f>
        <v>54</v>
      </c>
      <c r="L12" s="12" t="str">
        <f aca="false">IF(K12="","nėra duomenų",IF(K12&gt;=$L$5+$L$4,"Taip","Ne"))</f>
        <v>Taip</v>
      </c>
      <c r="M12" s="12"/>
      <c r="P12" s="46" t="n">
        <f aca="false">IF(ISNUMBER(F12),F12,0)</f>
        <v>15</v>
      </c>
      <c r="Q12" s="45" t="n">
        <f aca="false">IF(ISNUMBER(F12),E12,0)</f>
        <v>46084.7083333333</v>
      </c>
    </row>
    <row r="13" customFormat="false" ht="16.5" hidden="false" customHeight="true" outlineLevel="0" collapsed="false">
      <c r="A13" s="9" t="n">
        <f aca="false">IF(Žiniaraštis!A13="","",Žiniaraštis!A13)</f>
        <v>46086</v>
      </c>
      <c r="B13" s="12" t="str">
        <f aca="false">IF(Žiniaraštis!B13="","",Žiniaraštis!B13)</f>
        <v>Kt</v>
      </c>
      <c r="C13" s="38" t="n">
        <f aca="false">IF(Žiniaraštis!C13="","",Žiniaraštis!C13)</f>
        <v>0.333333333333333</v>
      </c>
      <c r="D13" s="38" t="n">
        <f aca="false">IF(Žiniaraštis!D13="","",Žiniaraštis!D13)</f>
        <v>0.708333333333333</v>
      </c>
      <c r="E13" s="44" t="n">
        <f aca="false">IF(OR(C13="",G12=""),"",G12)</f>
        <v>46085.7083333333</v>
      </c>
      <c r="F13" s="15" t="n">
        <f aca="false">IF(OR(E13="",C13=""),"",ROUND((A13+C13-E13)*24,2))</f>
        <v>15</v>
      </c>
      <c r="G13" s="45" t="n">
        <f aca="false">IF(OR(A13="",C13="",D13=""),G12,A13+C13+MOD(D13-C13,1))</f>
        <v>46086.7083333333</v>
      </c>
      <c r="H13" s="9" t="n">
        <f aca="false">H12+7</f>
        <v>46104</v>
      </c>
      <c r="I13" s="9" t="n">
        <f aca="false">H13+6</f>
        <v>46110</v>
      </c>
      <c r="J13" s="15" t="n">
        <f aca="false">SUMIFS(Žiniaraštis!$F$9:$F$39,Žiniaraštis!$A$9:$A$39,"&gt;="&amp;H13,Žiniaraštis!$A$9:$A$39,"&lt;="&amp;I13)</f>
        <v>40</v>
      </c>
      <c r="K13" s="35" t="n">
        <f aca="false">IF(SUMPRODUCT(($Q$9:$Q$39&gt;=H13)*($Q$9:$Q$39&lt;I13+1)*($P$9:$P$39&gt;0))=0,"",SUMPRODUCT(MAX(($Q$9:$Q$39&gt;=H13)*($Q$9:$Q$39&lt;I13+1)*$P$9:$P$39)))</f>
        <v>87</v>
      </c>
      <c r="L13" s="12" t="str">
        <f aca="false">IF(K13="","nėra duomenų",IF(K13&gt;=$L$5+$L$4,"Taip","Ne"))</f>
        <v>Taip</v>
      </c>
      <c r="M13" s="12"/>
      <c r="P13" s="46" t="n">
        <f aca="false">IF(ISNUMBER(F13),F13,0)</f>
        <v>15</v>
      </c>
      <c r="Q13" s="45" t="n">
        <f aca="false">IF(ISNUMBER(F13),E13,0)</f>
        <v>46085.7083333333</v>
      </c>
    </row>
    <row r="14" customFormat="false" ht="16.5" hidden="false" customHeight="true" outlineLevel="0" collapsed="false">
      <c r="A14" s="9" t="n">
        <f aca="false">IF(Žiniaraštis!A14="","",Žiniaraštis!A14)</f>
        <v>46087</v>
      </c>
      <c r="B14" s="12" t="str">
        <f aca="false">IF(Žiniaraštis!B14="","",Žiniaraštis!B14)</f>
        <v>Pn</v>
      </c>
      <c r="C14" s="38" t="n">
        <f aca="false">IF(Žiniaraštis!C14="","",Žiniaraštis!C14)</f>
        <v>0.333333333333333</v>
      </c>
      <c r="D14" s="38" t="n">
        <f aca="false">IF(Žiniaraštis!D14="","",Žiniaraštis!D14)</f>
        <v>0.708333333333333</v>
      </c>
      <c r="E14" s="44" t="n">
        <f aca="false">IF(OR(C14="",G13=""),"",G13)</f>
        <v>46086.7083333333</v>
      </c>
      <c r="F14" s="15" t="n">
        <f aca="false">IF(OR(E14="",C14=""),"",ROUND((A14+C14-E14)*24,2))</f>
        <v>15</v>
      </c>
      <c r="G14" s="45" t="n">
        <f aca="false">IF(OR(A14="",C14="",D14=""),G13,A14+C14+MOD(D14-C14,1))</f>
        <v>46087.7083333333</v>
      </c>
      <c r="H14" s="9" t="n">
        <f aca="false">H13+7</f>
        <v>46111</v>
      </c>
      <c r="I14" s="9" t="n">
        <f aca="false">H14+6</f>
        <v>46117</v>
      </c>
      <c r="J14" s="15" t="n">
        <f aca="false">SUMIFS(Žiniaraštis!$F$9:$F$39,Žiniaraštis!$A$9:$A$39,"&gt;="&amp;H14,Žiniaraštis!$A$9:$A$39,"&lt;="&amp;I14)</f>
        <v>8</v>
      </c>
      <c r="K14" s="35" t="str">
        <f aca="false">IF(SUMPRODUCT(($Q$9:$Q$39&gt;=H14)*($Q$9:$Q$39&lt;I14+1)*($P$9:$P$39&gt;0))=0,"",SUMPRODUCT(MAX(($Q$9:$Q$39&gt;=H14)*($Q$9:$Q$39&lt;I14+1)*$P$9:$P$39)))</f>
        <v/>
      </c>
      <c r="L14" s="12" t="str">
        <f aca="false">IF(K14="","nėra duomenų",IF(K14&gt;=$L$5+$L$4,"Taip","Ne"))</f>
        <v>nėra duomenų</v>
      </c>
      <c r="M14" s="12"/>
      <c r="P14" s="46" t="n">
        <f aca="false">IF(ISNUMBER(F14),F14,0)</f>
        <v>15</v>
      </c>
      <c r="Q14" s="45" t="n">
        <f aca="false">IF(ISNUMBER(F14),E14,0)</f>
        <v>46086.7083333333</v>
      </c>
    </row>
    <row r="15" customFormat="false" ht="16.5" hidden="false" customHeight="true" outlineLevel="0" collapsed="false">
      <c r="A15" s="9" t="n">
        <f aca="false">IF(Žiniaraštis!A15="","",Žiniaraštis!A15)</f>
        <v>46088</v>
      </c>
      <c r="B15" s="12" t="str">
        <f aca="false">IF(Žiniaraštis!B15="","",Žiniaraštis!B15)</f>
        <v>Št</v>
      </c>
      <c r="C15" s="38" t="str">
        <f aca="false">IF(Žiniaraštis!C15="","",Žiniaraštis!C15)</f>
        <v/>
      </c>
      <c r="D15" s="38" t="str">
        <f aca="false">IF(Žiniaraštis!D15="","",Žiniaraštis!D15)</f>
        <v/>
      </c>
      <c r="E15" s="44" t="str">
        <f aca="false">IF(OR(C15="",G14=""),"",G14)</f>
        <v/>
      </c>
      <c r="F15" s="15" t="str">
        <f aca="false">IF(OR(E15="",C15=""),"",ROUND((A15+C15-E15)*24,2))</f>
        <v/>
      </c>
      <c r="G15" s="45" t="n">
        <f aca="false">IF(OR(A15="",C15="",D15=""),G14,A15+C15+MOD(D15-C15,1))</f>
        <v>46087.7083333333</v>
      </c>
      <c r="H15" s="47" t="s">
        <v>121</v>
      </c>
      <c r="I15" s="47"/>
      <c r="J15" s="48" t="n">
        <f aca="false">ROUND(Žiniaraštis!F40/(DAY(Žiniaraštis!$F$4)/7),2)</f>
        <v>39.74</v>
      </c>
      <c r="K15" s="49" t="str">
        <f aca="false">IF(J15&gt;$L$3,"viršija "&amp;$L$3&amp;" val.","neviršija "&amp;$L$3&amp;" val.")</f>
        <v>neviršija 48 val.</v>
      </c>
      <c r="L15" s="49"/>
      <c r="M15" s="49"/>
      <c r="P15" s="0" t="n">
        <f aca="false">IF(ISNUMBER(F15),F15,0)</f>
        <v>0</v>
      </c>
      <c r="Q15" s="0" t="n">
        <f aca="false">IF(ISNUMBER(F15),E15,0)</f>
        <v>0</v>
      </c>
    </row>
    <row r="16" customFormat="false" ht="16.5" hidden="false" customHeight="true" outlineLevel="0" collapsed="false">
      <c r="A16" s="9" t="n">
        <f aca="false">IF(Žiniaraštis!A16="","",Žiniaraštis!A16)</f>
        <v>46089</v>
      </c>
      <c r="B16" s="12" t="str">
        <f aca="false">IF(Žiniaraštis!B16="","",Žiniaraštis!B16)</f>
        <v>Sk</v>
      </c>
      <c r="C16" s="38" t="str">
        <f aca="false">IF(Žiniaraštis!C16="","",Žiniaraštis!C16)</f>
        <v/>
      </c>
      <c r="D16" s="38" t="str">
        <f aca="false">IF(Žiniaraštis!D16="","",Žiniaraštis!D16)</f>
        <v/>
      </c>
      <c r="E16" s="44" t="str">
        <f aca="false">IF(OR(C16="",G15=""),"",G15)</f>
        <v/>
      </c>
      <c r="F16" s="15" t="str">
        <f aca="false">IF(OR(E16="",C16=""),"",ROUND((A16+C16-E16)*24,2))</f>
        <v/>
      </c>
      <c r="G16" s="45" t="n">
        <f aca="false">IF(OR(A16="",C16="",D16=""),G15,A16+C16+MOD(D16-C16,1))</f>
        <v>46087.7083333333</v>
      </c>
      <c r="H16" s="7" t="s">
        <v>122</v>
      </c>
      <c r="P16" s="0" t="n">
        <f aca="false">IF(ISNUMBER(F16),F16,0)</f>
        <v>0</v>
      </c>
      <c r="Q16" s="0" t="n">
        <f aca="false">IF(ISNUMBER(F16),E16,0)</f>
        <v>0</v>
      </c>
    </row>
    <row r="17" customFormat="false" ht="16.5" hidden="false" customHeight="true" outlineLevel="0" collapsed="false">
      <c r="A17" s="9" t="n">
        <f aca="false">IF(Žiniaraštis!A17="","",Žiniaraštis!A17)</f>
        <v>46090</v>
      </c>
      <c r="B17" s="12" t="str">
        <f aca="false">IF(Žiniaraštis!B17="","",Žiniaraštis!B17)</f>
        <v>Pr</v>
      </c>
      <c r="C17" s="38" t="n">
        <f aca="false">IF(Žiniaraštis!C17="","",Žiniaraštis!C17)</f>
        <v>0.333333333333333</v>
      </c>
      <c r="D17" s="38" t="n">
        <f aca="false">IF(Žiniaraštis!D17="","",Žiniaraštis!D17)</f>
        <v>0.708333333333333</v>
      </c>
      <c r="E17" s="44" t="n">
        <f aca="false">IF(OR(C17="",G16=""),"",G16)</f>
        <v>46087.7083333333</v>
      </c>
      <c r="F17" s="15" t="n">
        <f aca="false">IF(OR(E17="",C17=""),"",ROUND((A17+C17-E17)*24,2))</f>
        <v>63</v>
      </c>
      <c r="G17" s="45" t="n">
        <f aca="false">IF(OR(A17="",C17="",D17=""),G16,A17+C17+MOD(D17-C17,1))</f>
        <v>46090.7083333333</v>
      </c>
      <c r="P17" s="46" t="n">
        <f aca="false">IF(ISNUMBER(F17),F17,0)</f>
        <v>63</v>
      </c>
      <c r="Q17" s="45" t="n">
        <f aca="false">IF(ISNUMBER(F17),E17,0)</f>
        <v>46087.7083333333</v>
      </c>
    </row>
    <row r="18" customFormat="false" ht="16.5" hidden="false" customHeight="true" outlineLevel="0" collapsed="false">
      <c r="A18" s="9" t="n">
        <f aca="false">IF(Žiniaraštis!A18="","",Žiniaraštis!A18)</f>
        <v>46091</v>
      </c>
      <c r="B18" s="12" t="str">
        <f aca="false">IF(Žiniaraštis!B18="","",Žiniaraštis!B18)</f>
        <v>An</v>
      </c>
      <c r="C18" s="38" t="n">
        <f aca="false">IF(Žiniaraštis!C18="","",Žiniaraštis!C18)</f>
        <v>0.333333333333333</v>
      </c>
      <c r="D18" s="38" t="n">
        <f aca="false">IF(Žiniaraštis!D18="","",Žiniaraštis!D18)</f>
        <v>0.708333333333333</v>
      </c>
      <c r="E18" s="44" t="n">
        <f aca="false">IF(OR(C18="",G17=""),"",G17)</f>
        <v>46090.7083333333</v>
      </c>
      <c r="F18" s="15" t="n">
        <f aca="false">IF(OR(E18="",C18=""),"",ROUND((A18+C18-E18)*24,2))</f>
        <v>15</v>
      </c>
      <c r="G18" s="45" t="n">
        <f aca="false">IF(OR(A18="",C18="",D18=""),G17,A18+C18+MOD(D18-C18,1))</f>
        <v>46091.7083333333</v>
      </c>
      <c r="H18" s="28" t="s">
        <v>123</v>
      </c>
      <c r="P18" s="46" t="n">
        <f aca="false">IF(ISNUMBER(F18),F18,0)</f>
        <v>15</v>
      </c>
      <c r="Q18" s="45" t="n">
        <f aca="false">IF(ISNUMBER(F18),E18,0)</f>
        <v>46090.7083333333</v>
      </c>
    </row>
    <row r="19" customFormat="false" ht="27.75" hidden="false" customHeight="true" outlineLevel="0" collapsed="false">
      <c r="A19" s="9" t="n">
        <f aca="false">IF(Žiniaraštis!A19="","",Žiniaraštis!A19)</f>
        <v>46092</v>
      </c>
      <c r="B19" s="12" t="str">
        <f aca="false">IF(Žiniaraštis!B19="","",Žiniaraštis!B19)</f>
        <v>Tr</v>
      </c>
      <c r="C19" s="38" t="n">
        <f aca="false">IF(Žiniaraštis!C19="","",Žiniaraštis!C19)</f>
        <v>0.333333333333333</v>
      </c>
      <c r="D19" s="38" t="n">
        <f aca="false">IF(Žiniaraštis!D19="","",Žiniaraštis!D19)</f>
        <v>0.6875</v>
      </c>
      <c r="E19" s="44" t="n">
        <f aca="false">IF(OR(C19="",G18=""),"",G18)</f>
        <v>46091.7083333333</v>
      </c>
      <c r="F19" s="15" t="n">
        <f aca="false">IF(OR(E19="",C19=""),"",ROUND((A19+C19-E19)*24,2))</f>
        <v>15</v>
      </c>
      <c r="G19" s="45" t="n">
        <f aca="false">IF(OR(A19="",C19="",D19=""),G18,A19+C19+MOD(D19-C19,1))</f>
        <v>46092.6875</v>
      </c>
      <c r="H19" s="11" t="s">
        <v>124</v>
      </c>
      <c r="I19" s="11" t="s">
        <v>125</v>
      </c>
      <c r="J19" s="11"/>
      <c r="K19" s="11" t="s">
        <v>126</v>
      </c>
      <c r="L19" s="11"/>
      <c r="M19" s="11"/>
      <c r="N19" s="11" t="s">
        <v>127</v>
      </c>
      <c r="P19" s="46" t="n">
        <f aca="false">IF(ISNUMBER(F19),F19,0)</f>
        <v>15</v>
      </c>
      <c r="Q19" s="45" t="n">
        <f aca="false">IF(ISNUMBER(F19),E19,0)</f>
        <v>46091.7083333333</v>
      </c>
    </row>
    <row r="20" customFormat="false" ht="16.5" hidden="false" customHeight="true" outlineLevel="0" collapsed="false">
      <c r="A20" s="9" t="n">
        <f aca="false">IF(Žiniaraštis!A20="","",Žiniaraštis!A20)</f>
        <v>46093</v>
      </c>
      <c r="B20" s="12" t="str">
        <f aca="false">IF(Žiniaraštis!B20="","",Žiniaraštis!B20)</f>
        <v>Kt</v>
      </c>
      <c r="C20" s="38" t="n">
        <f aca="false">IF(Žiniaraštis!C20="","",Žiniaraštis!C20)</f>
        <v>0.333333333333333</v>
      </c>
      <c r="D20" s="38" t="n">
        <f aca="false">IF(Žiniaraštis!D20="","",Žiniaraštis!D20)</f>
        <v>0.708333333333333</v>
      </c>
      <c r="E20" s="44" t="n">
        <f aca="false">IF(OR(C20="",G19=""),"",G19)</f>
        <v>46092.6875</v>
      </c>
      <c r="F20" s="15" t="n">
        <f aca="false">IF(OR(E20="",C20=""),"",ROUND((A20+C20-E20)*24,2))</f>
        <v>15.5</v>
      </c>
      <c r="G20" s="45" t="n">
        <f aca="false">IF(OR(A20="",C20="",D20=""),G19,A20+C20+MOD(D20-C20,1))</f>
        <v>46093.7083333333</v>
      </c>
      <c r="H20" s="50" t="s">
        <v>128</v>
      </c>
      <c r="I20" s="51" t="s">
        <v>129</v>
      </c>
      <c r="J20" s="51"/>
      <c r="K20" s="37" t="str">
        <f aca="false">"Vidurkis: "&amp;FIXED(J15,2)&amp;" val."</f>
        <v>Vidurkis: 39,74 val.</v>
      </c>
      <c r="L20" s="37"/>
      <c r="M20" s="37"/>
      <c r="N20" s="34"/>
      <c r="P20" s="46" t="n">
        <f aca="false">IF(ISNUMBER(F20),F20,0)</f>
        <v>15.5</v>
      </c>
      <c r="Q20" s="45" t="n">
        <f aca="false">IF(ISNUMBER(F20),E20,0)</f>
        <v>46092.6875</v>
      </c>
    </row>
    <row r="21" customFormat="false" ht="16.5" hidden="false" customHeight="true" outlineLevel="0" collapsed="false">
      <c r="A21" s="9" t="n">
        <f aca="false">IF(Žiniaraštis!A21="","",Žiniaraštis!A21)</f>
        <v>46094</v>
      </c>
      <c r="B21" s="12" t="str">
        <f aca="false">IF(Žiniaraštis!B21="","",Žiniaraštis!B21)</f>
        <v>Pn</v>
      </c>
      <c r="C21" s="38" t="n">
        <f aca="false">IF(Žiniaraštis!C21="","",Žiniaraštis!C21)</f>
        <v>0.333333333333333</v>
      </c>
      <c r="D21" s="38" t="n">
        <f aca="false">IF(Žiniaraštis!D21="","",Žiniaraštis!D21)</f>
        <v>0.708333333333333</v>
      </c>
      <c r="E21" s="44" t="n">
        <f aca="false">IF(OR(C21="",G20=""),"",G20)</f>
        <v>46093.7083333333</v>
      </c>
      <c r="F21" s="15" t="n">
        <f aca="false">IF(OR(E21="",C21=""),"",ROUND((A21+C21-E21)*24,2))</f>
        <v>15</v>
      </c>
      <c r="G21" s="45" t="n">
        <f aca="false">IF(OR(A21="",C21="",D21=""),G20,A21+C21+MOD(D21-C21,1))</f>
        <v>46094.7083333333</v>
      </c>
      <c r="H21" s="50" t="s">
        <v>130</v>
      </c>
      <c r="I21" s="51" t="s">
        <v>131</v>
      </c>
      <c r="J21" s="51"/>
      <c r="K21" s="37" t="str">
        <f aca="false">"Dienų su poilsiu &lt; "&amp;$L$4&amp;" val.: "&amp;COUNTIF($F$9:$F$39,"&lt;"&amp;$L$4)</f>
        <v>Dienų su poilsiu &lt; 11 val.: 1</v>
      </c>
      <c r="L21" s="37"/>
      <c r="M21" s="37"/>
      <c r="N21" s="34"/>
      <c r="P21" s="46" t="n">
        <f aca="false">IF(ISNUMBER(F21),F21,0)</f>
        <v>15</v>
      </c>
      <c r="Q21" s="45" t="n">
        <f aca="false">IF(ISNUMBER(F21),E21,0)</f>
        <v>46093.7083333333</v>
      </c>
    </row>
    <row r="22" customFormat="false" ht="16.5" hidden="false" customHeight="true" outlineLevel="0" collapsed="false">
      <c r="A22" s="9" t="n">
        <f aca="false">IF(Žiniaraštis!A22="","",Žiniaraštis!A22)</f>
        <v>46095</v>
      </c>
      <c r="B22" s="12" t="str">
        <f aca="false">IF(Žiniaraštis!B22="","",Žiniaraštis!B22)</f>
        <v>Št</v>
      </c>
      <c r="C22" s="38" t="n">
        <f aca="false">IF(Žiniaraštis!C22="","",Žiniaraštis!C22)</f>
        <v>0.333333333333333</v>
      </c>
      <c r="D22" s="38" t="n">
        <f aca="false">IF(Žiniaraštis!D22="","",Žiniaraštis!D22)</f>
        <v>0.6875</v>
      </c>
      <c r="E22" s="44" t="n">
        <f aca="false">IF(OR(C22="",G21=""),"",G21)</f>
        <v>46094.7083333333</v>
      </c>
      <c r="F22" s="15" t="n">
        <f aca="false">IF(OR(E22="",C22=""),"",ROUND((A22+C22-E22)*24,2))</f>
        <v>15</v>
      </c>
      <c r="G22" s="45" t="n">
        <f aca="false">IF(OR(A22="",C22="",D22=""),G21,A22+C22+MOD(D22-C22,1))</f>
        <v>46095.6875</v>
      </c>
      <c r="H22" s="50" t="s">
        <v>132</v>
      </c>
      <c r="I22" s="51" t="s">
        <v>133</v>
      </c>
      <c r="J22" s="51"/>
      <c r="K22" s="37" t="str">
        <f aca="false">"Savaičių be 24 + 11 val.: "&amp;COUNTIF(L9:L14,"Ne")</f>
        <v>Savaičių be 24 + 11 val.: 0</v>
      </c>
      <c r="L22" s="37"/>
      <c r="M22" s="37"/>
      <c r="N22" s="34"/>
      <c r="P22" s="46" t="n">
        <f aca="false">IF(ISNUMBER(F22),F22,0)</f>
        <v>15</v>
      </c>
      <c r="Q22" s="45" t="n">
        <f aca="false">IF(ISNUMBER(F22),E22,0)</f>
        <v>46094.7083333333</v>
      </c>
    </row>
    <row r="23" customFormat="false" ht="16.5" hidden="false" customHeight="true" outlineLevel="0" collapsed="false">
      <c r="A23" s="9" t="n">
        <f aca="false">IF(Žiniaraštis!A23="","",Žiniaraštis!A23)</f>
        <v>46096</v>
      </c>
      <c r="B23" s="12" t="str">
        <f aca="false">IF(Žiniaraštis!B23="","",Žiniaraštis!B23)</f>
        <v>Sk</v>
      </c>
      <c r="C23" s="38" t="str">
        <f aca="false">IF(Žiniaraštis!C23="","",Žiniaraštis!C23)</f>
        <v/>
      </c>
      <c r="D23" s="38" t="str">
        <f aca="false">IF(Žiniaraštis!D23="","",Žiniaraštis!D23)</f>
        <v/>
      </c>
      <c r="E23" s="44" t="str">
        <f aca="false">IF(OR(C23="",G22=""),"",G22)</f>
        <v/>
      </c>
      <c r="F23" s="15" t="str">
        <f aca="false">IF(OR(E23="",C23=""),"",ROUND((A23+C23-E23)*24,2))</f>
        <v/>
      </c>
      <c r="G23" s="45" t="n">
        <f aca="false">IF(OR(A23="",C23="",D23=""),G22,A23+C23+MOD(D23-C23,1))</f>
        <v>46095.6875</v>
      </c>
      <c r="H23" s="50" t="s">
        <v>134</v>
      </c>
      <c r="I23" s="51" t="s">
        <v>135</v>
      </c>
      <c r="J23" s="51"/>
      <c r="K23" s="37" t="str">
        <f aca="false">"Dienų su žyma A: "&amp;COUNTIF(Žiniaraštis!$K$9:$K$39,"A")</f>
        <v>Dienų su žyma A: 1</v>
      </c>
      <c r="L23" s="37"/>
      <c r="M23" s="37"/>
      <c r="N23" s="34"/>
      <c r="P23" s="0" t="n">
        <f aca="false">IF(ISNUMBER(F23),F23,0)</f>
        <v>0</v>
      </c>
      <c r="Q23" s="0" t="n">
        <f aca="false">IF(ISNUMBER(F23),E23,0)</f>
        <v>0</v>
      </c>
    </row>
    <row r="24" customFormat="false" ht="16.5" hidden="false" customHeight="true" outlineLevel="0" collapsed="false">
      <c r="A24" s="9" t="n">
        <f aca="false">IF(Žiniaraštis!A24="","",Žiniaraštis!A24)</f>
        <v>46097</v>
      </c>
      <c r="B24" s="12" t="str">
        <f aca="false">IF(Žiniaraštis!B24="","",Žiniaraštis!B24)</f>
        <v>Pr</v>
      </c>
      <c r="C24" s="38" t="n">
        <f aca="false">IF(Žiniaraštis!C24="","",Žiniaraštis!C24)</f>
        <v>0.333333333333333</v>
      </c>
      <c r="D24" s="38" t="n">
        <f aca="false">IF(Žiniaraštis!D24="","",Žiniaraštis!D24)</f>
        <v>0.708333333333333</v>
      </c>
      <c r="E24" s="44" t="n">
        <f aca="false">IF(OR(C24="",G23=""),"",G23)</f>
        <v>46095.6875</v>
      </c>
      <c r="F24" s="15" t="n">
        <f aca="false">IF(OR(E24="",C24=""),"",ROUND((A24+C24-E24)*24,2))</f>
        <v>39.5</v>
      </c>
      <c r="G24" s="45" t="n">
        <f aca="false">IF(OR(A24="",C24="",D24=""),G23,A24+C24+MOD(D24-C24,1))</f>
        <v>46097.7083333333</v>
      </c>
      <c r="H24" s="50" t="s">
        <v>136</v>
      </c>
      <c r="I24" s="51" t="s">
        <v>137</v>
      </c>
      <c r="J24" s="51"/>
      <c r="K24" s="37" t="str">
        <f aca="false">"Dienų su žyma L: "&amp;COUNTIF(Žiniaraštis!$K$9:$K$39,"L")</f>
        <v>Dienų su žyma L: 0</v>
      </c>
      <c r="L24" s="37"/>
      <c r="M24" s="37"/>
      <c r="N24" s="34"/>
      <c r="P24" s="46" t="n">
        <f aca="false">IF(ISNUMBER(F24),F24,0)</f>
        <v>39.5</v>
      </c>
      <c r="Q24" s="45" t="n">
        <f aca="false">IF(ISNUMBER(F24),E24,0)</f>
        <v>46095.6875</v>
      </c>
    </row>
    <row r="25" customFormat="false" ht="16.5" hidden="false" customHeight="true" outlineLevel="0" collapsed="false">
      <c r="A25" s="9" t="n">
        <f aca="false">IF(Žiniaraštis!A25="","",Žiniaraštis!A25)</f>
        <v>46098</v>
      </c>
      <c r="B25" s="12" t="str">
        <f aca="false">IF(Žiniaraštis!B25="","",Žiniaraštis!B25)</f>
        <v>An</v>
      </c>
      <c r="C25" s="38" t="n">
        <f aca="false">IF(Žiniaraštis!C25="","",Žiniaraštis!C25)</f>
        <v>0.333333333333333</v>
      </c>
      <c r="D25" s="38" t="n">
        <f aca="false">IF(Žiniaraštis!D25="","",Žiniaraštis!D25)</f>
        <v>0.708333333333333</v>
      </c>
      <c r="E25" s="44" t="n">
        <f aca="false">IF(OR(C25="",G24=""),"",G24)</f>
        <v>46097.7083333333</v>
      </c>
      <c r="F25" s="15" t="n">
        <f aca="false">IF(OR(E25="",C25=""),"",ROUND((A25+C25-E25)*24,2))</f>
        <v>15</v>
      </c>
      <c r="G25" s="45" t="n">
        <f aca="false">IF(OR(A25="",C25="",D25=""),G24,A25+C25+MOD(D25-C25,1))</f>
        <v>46098.7083333333</v>
      </c>
      <c r="H25" s="50" t="s">
        <v>138</v>
      </c>
      <c r="I25" s="51" t="s">
        <v>139</v>
      </c>
      <c r="J25" s="51"/>
      <c r="K25" s="37" t="str">
        <f aca="false">"Viršvalandžių: "&amp;FIXED(SUM(Žiniaraštis!$H$9:$H$39),2)&amp;" val.; balansas "&amp;FIXED(Koeficientai!D20,2)</f>
        <v>Viršvalandžių: 0,00 val.; balansas 8,00</v>
      </c>
      <c r="L25" s="37"/>
      <c r="M25" s="37"/>
      <c r="N25" s="34"/>
      <c r="P25" s="46" t="n">
        <f aca="false">IF(ISNUMBER(F25),F25,0)</f>
        <v>15</v>
      </c>
      <c r="Q25" s="45" t="n">
        <f aca="false">IF(ISNUMBER(F25),E25,0)</f>
        <v>46097.7083333333</v>
      </c>
    </row>
    <row r="26" customFormat="false" ht="16.5" hidden="false" customHeight="true" outlineLevel="0" collapsed="false">
      <c r="A26" s="9" t="n">
        <f aca="false">IF(Žiniaraštis!A26="","",Žiniaraštis!A26)</f>
        <v>46099</v>
      </c>
      <c r="B26" s="12" t="str">
        <f aca="false">IF(Žiniaraštis!B26="","",Žiniaraštis!B26)</f>
        <v>Tr</v>
      </c>
      <c r="C26" s="38" t="n">
        <f aca="false">IF(Žiniaraštis!C26="","",Žiniaraštis!C26)</f>
        <v>0.583333333333333</v>
      </c>
      <c r="D26" s="38" t="n">
        <f aca="false">IF(Žiniaraštis!D26="","",Žiniaraštis!D26)</f>
        <v>0.9375</v>
      </c>
      <c r="E26" s="44" t="n">
        <f aca="false">IF(OR(C26="",G25=""),"",G25)</f>
        <v>46098.7083333333</v>
      </c>
      <c r="F26" s="15" t="n">
        <f aca="false">IF(OR(E26="",C26=""),"",ROUND((A26+C26-E26)*24,2))</f>
        <v>21</v>
      </c>
      <c r="G26" s="45" t="n">
        <f aca="false">IF(OR(A26="",C26="",D26=""),G25,A26+C26+MOD(D26-C26,1))</f>
        <v>46099.9375</v>
      </c>
      <c r="H26" s="50" t="s">
        <v>140</v>
      </c>
      <c r="I26" s="51" t="s">
        <v>141</v>
      </c>
      <c r="J26" s="51"/>
      <c r="K26" s="37" t="str">
        <f aca="false">"Korekcijų: "&amp;COUNTA(Korekcijos!$A$5:$A$40)&amp;", be patvirtinimo: "&amp;(COUNTA(Korekcijos!$A$5:$A$40)-COUNTIFS(Korekcijos!$A$5:$A$40,"&lt;&gt;",Korekcijos!$F$5:$F$40,"&lt;&gt;",Korekcijos!$G$5:$G$40,"&lt;&gt;"))</f>
        <v>Korekcijų: 2, be patvirtinimo: 0</v>
      </c>
      <c r="L26" s="37"/>
      <c r="M26" s="37"/>
      <c r="N26" s="34"/>
      <c r="P26" s="46" t="n">
        <f aca="false">IF(ISNUMBER(F26),F26,0)</f>
        <v>21</v>
      </c>
      <c r="Q26" s="45" t="n">
        <f aca="false">IF(ISNUMBER(F26),E26,0)</f>
        <v>46098.7083333333</v>
      </c>
    </row>
    <row r="27" customFormat="false" ht="16.5" hidden="false" customHeight="true" outlineLevel="0" collapsed="false">
      <c r="A27" s="9" t="n">
        <f aca="false">IF(Žiniaraštis!A27="","",Žiniaraštis!A27)</f>
        <v>46100</v>
      </c>
      <c r="B27" s="12" t="str">
        <f aca="false">IF(Žiniaraštis!B27="","",Žiniaraštis!B27)</f>
        <v>Kt</v>
      </c>
      <c r="C27" s="38" t="n">
        <f aca="false">IF(Žiniaraštis!C27="","",Žiniaraštis!C27)</f>
        <v>0.291666666666667</v>
      </c>
      <c r="D27" s="38" t="n">
        <f aca="false">IF(Žiniaraštis!D27="","",Žiniaraštis!D27)</f>
        <v>0.666666666666667</v>
      </c>
      <c r="E27" s="44" t="n">
        <f aca="false">IF(OR(C27="",G26=""),"",G26)</f>
        <v>46099.9375</v>
      </c>
      <c r="F27" s="15" t="n">
        <f aca="false">IF(OR(E27="",C27=""),"",ROUND((A27+C27-E27)*24,2))</f>
        <v>8.5</v>
      </c>
      <c r="G27" s="45" t="n">
        <f aca="false">IF(OR(A27="",C27="",D27=""),G26,A27+C27+MOD(D27-C27,1))</f>
        <v>46100.6666666667</v>
      </c>
      <c r="P27" s="46" t="n">
        <f aca="false">IF(ISNUMBER(F27),F27,0)</f>
        <v>8.5</v>
      </c>
      <c r="Q27" s="45" t="n">
        <f aca="false">IF(ISNUMBER(F27),E27,0)</f>
        <v>46099.9375</v>
      </c>
    </row>
    <row r="28" customFormat="false" ht="16.5" hidden="false" customHeight="true" outlineLevel="0" collapsed="false">
      <c r="A28" s="9" t="n">
        <f aca="false">IF(Žiniaraštis!A28="","",Žiniaraštis!A28)</f>
        <v>46101</v>
      </c>
      <c r="B28" s="12" t="str">
        <f aca="false">IF(Žiniaraštis!B28="","",Žiniaraštis!B28)</f>
        <v>Pn</v>
      </c>
      <c r="C28" s="38" t="n">
        <f aca="false">IF(Žiniaraštis!C28="","",Žiniaraštis!C28)</f>
        <v>0.75</v>
      </c>
      <c r="D28" s="38" t="n">
        <f aca="false">IF(Žiniaraštis!D28="","",Žiniaraštis!D28)</f>
        <v>0.0833333333333333</v>
      </c>
      <c r="E28" s="44" t="n">
        <f aca="false">IF(OR(C28="",G27=""),"",G27)</f>
        <v>46100.6666666667</v>
      </c>
      <c r="F28" s="15" t="n">
        <f aca="false">IF(OR(E28="",C28=""),"",ROUND((A28+C28-E28)*24,2))</f>
        <v>26</v>
      </c>
      <c r="G28" s="45" t="n">
        <f aca="false">IF(OR(A28="",C28="",D28=""),G27,A28+C28+MOD(D28-C28,1))</f>
        <v>46102.0833333333</v>
      </c>
      <c r="H28" s="3" t="s">
        <v>142</v>
      </c>
      <c r="I28" s="3"/>
      <c r="J28" s="52"/>
      <c r="K28" s="52"/>
      <c r="L28" s="52"/>
      <c r="P28" s="46" t="n">
        <f aca="false">IF(ISNUMBER(F28),F28,0)</f>
        <v>26</v>
      </c>
      <c r="Q28" s="45" t="n">
        <f aca="false">IF(ISNUMBER(F28),E28,0)</f>
        <v>46100.6666666667</v>
      </c>
    </row>
    <row r="29" customFormat="false" ht="16.5" hidden="false" customHeight="true" outlineLevel="0" collapsed="false">
      <c r="A29" s="9" t="n">
        <f aca="false">IF(Žiniaraštis!A29="","",Žiniaraštis!A29)</f>
        <v>46102</v>
      </c>
      <c r="B29" s="12" t="str">
        <f aca="false">IF(Žiniaraštis!B29="","",Žiniaraštis!B29)</f>
        <v>Št</v>
      </c>
      <c r="C29" s="38" t="str">
        <f aca="false">IF(Žiniaraštis!C29="","",Žiniaraštis!C29)</f>
        <v/>
      </c>
      <c r="D29" s="38" t="str">
        <f aca="false">IF(Žiniaraštis!D29="","",Žiniaraštis!D29)</f>
        <v/>
      </c>
      <c r="E29" s="44" t="str">
        <f aca="false">IF(OR(C29="",G28=""),"",G28)</f>
        <v/>
      </c>
      <c r="F29" s="15" t="str">
        <f aca="false">IF(OR(E29="",C29=""),"",ROUND((A29+C29-E29)*24,2))</f>
        <v/>
      </c>
      <c r="G29" s="45" t="n">
        <f aca="false">IF(OR(A29="",C29="",D29=""),G28,A29+C29+MOD(D29-C29,1))</f>
        <v>46102.0833333333</v>
      </c>
      <c r="H29" s="3" t="s">
        <v>143</v>
      </c>
      <c r="I29" s="3"/>
      <c r="J29" s="53"/>
      <c r="K29" s="53"/>
      <c r="L29" s="53"/>
      <c r="P29" s="0" t="n">
        <f aca="false">IF(ISNUMBER(F29),F29,0)</f>
        <v>0</v>
      </c>
      <c r="Q29" s="0" t="n">
        <f aca="false">IF(ISNUMBER(F29),E29,0)</f>
        <v>0</v>
      </c>
    </row>
    <row r="30" customFormat="false" ht="16.5" hidden="false" customHeight="true" outlineLevel="0" collapsed="false">
      <c r="A30" s="9" t="n">
        <f aca="false">IF(Žiniaraštis!A30="","",Žiniaraštis!A30)</f>
        <v>46103</v>
      </c>
      <c r="B30" s="12" t="str">
        <f aca="false">IF(Žiniaraštis!B30="","",Žiniaraštis!B30)</f>
        <v>Sk</v>
      </c>
      <c r="C30" s="38" t="str">
        <f aca="false">IF(Žiniaraštis!C30="","",Žiniaraštis!C30)</f>
        <v/>
      </c>
      <c r="D30" s="38" t="str">
        <f aca="false">IF(Žiniaraštis!D30="","",Žiniaraštis!D30)</f>
        <v/>
      </c>
      <c r="E30" s="44" t="str">
        <f aca="false">IF(OR(C30="",G29=""),"",G29)</f>
        <v/>
      </c>
      <c r="F30" s="15" t="str">
        <f aca="false">IF(OR(E30="",C30=""),"",ROUND((A30+C30-E30)*24,2))</f>
        <v/>
      </c>
      <c r="G30" s="45" t="n">
        <f aca="false">IF(OR(A30="",C30="",D30=""),G29,A30+C30+MOD(D30-C30,1))</f>
        <v>46102.0833333333</v>
      </c>
      <c r="H30" s="3" t="s">
        <v>144</v>
      </c>
      <c r="I30" s="3"/>
      <c r="J30" s="54" t="str">
        <f aca="false">IF(AND(COUNTIF(N20:N26,"Taip")=7,J28&lt;&gt;"",J29&lt;&gt;""),"Užrakinta","Neužrakinta – tikrinama")</f>
        <v>Neužrakinta – tikrinama</v>
      </c>
      <c r="K30" s="54"/>
      <c r="L30" s="54"/>
      <c r="P30" s="0" t="n">
        <f aca="false">IF(ISNUMBER(F30),F30,0)</f>
        <v>0</v>
      </c>
      <c r="Q30" s="0" t="n">
        <f aca="false">IF(ISNUMBER(F30),E30,0)</f>
        <v>0</v>
      </c>
    </row>
    <row r="31" customFormat="false" ht="16.5" hidden="false" customHeight="true" outlineLevel="0" collapsed="false">
      <c r="A31" s="9" t="n">
        <f aca="false">IF(Žiniaraštis!A31="","",Žiniaraštis!A31)</f>
        <v>46104</v>
      </c>
      <c r="B31" s="12" t="str">
        <f aca="false">IF(Žiniaraštis!B31="","",Žiniaraštis!B31)</f>
        <v>Pr</v>
      </c>
      <c r="C31" s="38" t="n">
        <f aca="false">IF(Žiniaraštis!C31="","",Žiniaraštis!C31)</f>
        <v>0.333333333333333</v>
      </c>
      <c r="D31" s="38" t="n">
        <f aca="false">IF(Žiniaraštis!D31="","",Žiniaraštis!D31)</f>
        <v>0.708333333333333</v>
      </c>
      <c r="E31" s="44" t="n">
        <f aca="false">IF(OR(C31="",G30=""),"",G30)</f>
        <v>46102.0833333333</v>
      </c>
      <c r="F31" s="15" t="n">
        <f aca="false">IF(OR(E31="",C31=""),"",ROUND((A31+C31-E31)*24,2))</f>
        <v>54</v>
      </c>
      <c r="G31" s="45" t="n">
        <f aca="false">IF(OR(A31="",C31="",D31=""),G30,A31+C31+MOD(D31-C31,1))</f>
        <v>46104.7083333333</v>
      </c>
      <c r="P31" s="46" t="n">
        <f aca="false">IF(ISNUMBER(F31),F31,0)</f>
        <v>54</v>
      </c>
      <c r="Q31" s="45" t="n">
        <f aca="false">IF(ISNUMBER(F31),E31,0)</f>
        <v>46102.0833333333</v>
      </c>
    </row>
    <row r="32" customFormat="false" ht="16.5" hidden="false" customHeight="true" outlineLevel="0" collapsed="false">
      <c r="A32" s="9" t="n">
        <f aca="false">IF(Žiniaraštis!A32="","",Žiniaraštis!A32)</f>
        <v>46105</v>
      </c>
      <c r="B32" s="12" t="str">
        <f aca="false">IF(Žiniaraštis!B32="","",Žiniaraštis!B32)</f>
        <v>An</v>
      </c>
      <c r="C32" s="38" t="n">
        <f aca="false">IF(Žiniaraštis!C32="","",Žiniaraštis!C32)</f>
        <v>0.333333333333333</v>
      </c>
      <c r="D32" s="38" t="n">
        <f aca="false">IF(Žiniaraštis!D32="","",Žiniaraštis!D32)</f>
        <v>0.708333333333333</v>
      </c>
      <c r="E32" s="44" t="n">
        <f aca="false">IF(OR(C32="",G31=""),"",G31)</f>
        <v>46104.7083333333</v>
      </c>
      <c r="F32" s="15" t="n">
        <f aca="false">IF(OR(E32="",C32=""),"",ROUND((A32+C32-E32)*24,2))</f>
        <v>15</v>
      </c>
      <c r="G32" s="45" t="n">
        <f aca="false">IF(OR(A32="",C32="",D32=""),G31,A32+C32+MOD(D32-C32,1))</f>
        <v>46105.7083333333</v>
      </c>
      <c r="H32" s="7" t="s">
        <v>145</v>
      </c>
      <c r="P32" s="46" t="n">
        <f aca="false">IF(ISNUMBER(F32),F32,0)</f>
        <v>15</v>
      </c>
      <c r="Q32" s="45" t="n">
        <f aca="false">IF(ISNUMBER(F32),E32,0)</f>
        <v>46104.7083333333</v>
      </c>
    </row>
    <row r="33" customFormat="false" ht="16.5" hidden="false" customHeight="true" outlineLevel="0" collapsed="false">
      <c r="A33" s="9" t="n">
        <f aca="false">IF(Žiniaraštis!A33="","",Žiniaraštis!A33)</f>
        <v>46106</v>
      </c>
      <c r="B33" s="12" t="str">
        <f aca="false">IF(Žiniaraštis!B33="","",Žiniaraštis!B33)</f>
        <v>Tr</v>
      </c>
      <c r="C33" s="38" t="n">
        <f aca="false">IF(Žiniaraštis!C33="","",Žiniaraštis!C33)</f>
        <v>0.333333333333333</v>
      </c>
      <c r="D33" s="38" t="n">
        <f aca="false">IF(Žiniaraštis!D33="","",Žiniaraštis!D33)</f>
        <v>0.708333333333333</v>
      </c>
      <c r="E33" s="44" t="n">
        <f aca="false">IF(OR(C33="",G32=""),"",G32)</f>
        <v>46105.7083333333</v>
      </c>
      <c r="F33" s="15" t="n">
        <f aca="false">IF(OR(E33="",C33=""),"",ROUND((A33+C33-E33)*24,2))</f>
        <v>15</v>
      </c>
      <c r="G33" s="45" t="n">
        <f aca="false">IF(OR(A33="",C33="",D33=""),G32,A33+C33+MOD(D33-C33,1))</f>
        <v>46106.7083333333</v>
      </c>
      <c r="H33" s="7" t="s">
        <v>146</v>
      </c>
      <c r="P33" s="46" t="n">
        <f aca="false">IF(ISNUMBER(F33),F33,0)</f>
        <v>15</v>
      </c>
      <c r="Q33" s="45" t="n">
        <f aca="false">IF(ISNUMBER(F33),E33,0)</f>
        <v>46105.7083333333</v>
      </c>
    </row>
    <row r="34" customFormat="false" ht="16.5" hidden="false" customHeight="true" outlineLevel="0" collapsed="false">
      <c r="A34" s="9" t="n">
        <f aca="false">IF(Žiniaraštis!A34="","",Žiniaraštis!A34)</f>
        <v>46107</v>
      </c>
      <c r="B34" s="12" t="str">
        <f aca="false">IF(Žiniaraštis!B34="","",Žiniaraštis!B34)</f>
        <v>Kt</v>
      </c>
      <c r="C34" s="38" t="n">
        <f aca="false">IF(Žiniaraštis!C34="","",Žiniaraštis!C34)</f>
        <v>0.333333333333333</v>
      </c>
      <c r="D34" s="38" t="n">
        <f aca="false">IF(Žiniaraštis!D34="","",Žiniaraštis!D34)</f>
        <v>0.708333333333333</v>
      </c>
      <c r="E34" s="44" t="n">
        <f aca="false">IF(OR(C34="",G33=""),"",G33)</f>
        <v>46106.7083333333</v>
      </c>
      <c r="F34" s="15" t="n">
        <f aca="false">IF(OR(E34="",C34=""),"",ROUND((A34+C34-E34)*24,2))</f>
        <v>15</v>
      </c>
      <c r="G34" s="45" t="n">
        <f aca="false">IF(OR(A34="",C34="",D34=""),G33,A34+C34+MOD(D34-C34,1))</f>
        <v>46107.7083333333</v>
      </c>
      <c r="H34" s="7" t="s">
        <v>147</v>
      </c>
      <c r="P34" s="46" t="n">
        <f aca="false">IF(ISNUMBER(F34),F34,0)</f>
        <v>15</v>
      </c>
      <c r="Q34" s="45" t="n">
        <f aca="false">IF(ISNUMBER(F34),E34,0)</f>
        <v>46106.7083333333</v>
      </c>
    </row>
    <row r="35" customFormat="false" ht="16.5" hidden="false" customHeight="true" outlineLevel="0" collapsed="false">
      <c r="A35" s="9" t="n">
        <f aca="false">IF(Žiniaraštis!A35="","",Žiniaraštis!A35)</f>
        <v>46108</v>
      </c>
      <c r="B35" s="12" t="str">
        <f aca="false">IF(Žiniaraštis!B35="","",Žiniaraštis!B35)</f>
        <v>Pn</v>
      </c>
      <c r="C35" s="38" t="n">
        <f aca="false">IF(Žiniaraštis!C35="","",Žiniaraštis!C35)</f>
        <v>0.333333333333333</v>
      </c>
      <c r="D35" s="38" t="n">
        <f aca="false">IF(Žiniaraštis!D35="","",Žiniaraštis!D35)</f>
        <v>0.708333333333333</v>
      </c>
      <c r="E35" s="44" t="n">
        <f aca="false">IF(OR(C35="",G34=""),"",G34)</f>
        <v>46107.7083333333</v>
      </c>
      <c r="F35" s="15" t="n">
        <f aca="false">IF(OR(E35="",C35=""),"",ROUND((A35+C35-E35)*24,2))</f>
        <v>15</v>
      </c>
      <c r="G35" s="45" t="n">
        <f aca="false">IF(OR(A35="",C35="",D35=""),G34,A35+C35+MOD(D35-C35,1))</f>
        <v>46108.7083333333</v>
      </c>
      <c r="H35" s="7" t="s">
        <v>148</v>
      </c>
      <c r="P35" s="46" t="n">
        <f aca="false">IF(ISNUMBER(F35),F35,0)</f>
        <v>15</v>
      </c>
      <c r="Q35" s="45" t="n">
        <f aca="false">IF(ISNUMBER(F35),E35,0)</f>
        <v>46107.7083333333</v>
      </c>
    </row>
    <row r="36" customFormat="false" ht="16.5" hidden="false" customHeight="true" outlineLevel="0" collapsed="false">
      <c r="A36" s="9" t="n">
        <f aca="false">IF(Žiniaraštis!A36="","",Žiniaraštis!A36)</f>
        <v>46109</v>
      </c>
      <c r="B36" s="12" t="str">
        <f aca="false">IF(Žiniaraštis!B36="","",Žiniaraštis!B36)</f>
        <v>Št</v>
      </c>
      <c r="C36" s="38" t="str">
        <f aca="false">IF(Žiniaraštis!C36="","",Žiniaraštis!C36)</f>
        <v/>
      </c>
      <c r="D36" s="38" t="str">
        <f aca="false">IF(Žiniaraštis!D36="","",Žiniaraštis!D36)</f>
        <v/>
      </c>
      <c r="E36" s="44" t="str">
        <f aca="false">IF(OR(C36="",G35=""),"",G35)</f>
        <v/>
      </c>
      <c r="F36" s="15" t="str">
        <f aca="false">IF(OR(E36="",C36=""),"",ROUND((A36+C36-E36)*24,2))</f>
        <v/>
      </c>
      <c r="G36" s="45" t="n">
        <f aca="false">IF(OR(A36="",C36="",D36=""),G35,A36+C36+MOD(D36-C36,1))</f>
        <v>46108.7083333333</v>
      </c>
      <c r="P36" s="0" t="n">
        <f aca="false">IF(ISNUMBER(F36),F36,0)</f>
        <v>0</v>
      </c>
      <c r="Q36" s="0" t="n">
        <f aca="false">IF(ISNUMBER(F36),E36,0)</f>
        <v>0</v>
      </c>
    </row>
    <row r="37" customFormat="false" ht="16.5" hidden="false" customHeight="true" outlineLevel="0" collapsed="false">
      <c r="A37" s="9" t="n">
        <f aca="false">IF(Žiniaraštis!A37="","",Žiniaraštis!A37)</f>
        <v>46110</v>
      </c>
      <c r="B37" s="12" t="str">
        <f aca="false">IF(Žiniaraštis!B37="","",Žiniaraštis!B37)</f>
        <v>Sk</v>
      </c>
      <c r="C37" s="38" t="str">
        <f aca="false">IF(Žiniaraštis!C37="","",Žiniaraštis!C37)</f>
        <v/>
      </c>
      <c r="D37" s="38" t="str">
        <f aca="false">IF(Žiniaraštis!D37="","",Žiniaraštis!D37)</f>
        <v/>
      </c>
      <c r="E37" s="44" t="str">
        <f aca="false">IF(OR(C37="",G36=""),"",G36)</f>
        <v/>
      </c>
      <c r="F37" s="15" t="str">
        <f aca="false">IF(OR(E37="",C37=""),"",ROUND((A37+C37-E37)*24,2))</f>
        <v/>
      </c>
      <c r="G37" s="45" t="n">
        <f aca="false">IF(OR(A37="",C37="",D37=""),G36,A37+C37+MOD(D37-C37,1))</f>
        <v>46108.7083333333</v>
      </c>
      <c r="P37" s="0" t="n">
        <f aca="false">IF(ISNUMBER(F37),F37,0)</f>
        <v>0</v>
      </c>
      <c r="Q37" s="0" t="n">
        <f aca="false">IF(ISNUMBER(F37),E37,0)</f>
        <v>0</v>
      </c>
    </row>
    <row r="38" customFormat="false" ht="16.5" hidden="false" customHeight="true" outlineLevel="0" collapsed="false">
      <c r="A38" s="9" t="n">
        <f aca="false">IF(Žiniaraštis!A38="","",Žiniaraštis!A38)</f>
        <v>46111</v>
      </c>
      <c r="B38" s="12" t="str">
        <f aca="false">IF(Žiniaraštis!B38="","",Žiniaraštis!B38)</f>
        <v>Pr</v>
      </c>
      <c r="C38" s="38" t="str">
        <f aca="false">IF(Žiniaraštis!C38="","",Žiniaraštis!C38)</f>
        <v/>
      </c>
      <c r="D38" s="38" t="str">
        <f aca="false">IF(Žiniaraštis!D38="","",Žiniaraštis!D38)</f>
        <v/>
      </c>
      <c r="E38" s="44" t="str">
        <f aca="false">IF(OR(C38="",G37=""),"",G37)</f>
        <v/>
      </c>
      <c r="F38" s="15" t="str">
        <f aca="false">IF(OR(E38="",C38=""),"",ROUND((A38+C38-E38)*24,2))</f>
        <v/>
      </c>
      <c r="G38" s="45" t="n">
        <f aca="false">IF(OR(A38="",C38="",D38=""),G37,A38+C38+MOD(D38-C38,1))</f>
        <v>46108.7083333333</v>
      </c>
      <c r="P38" s="0" t="n">
        <f aca="false">IF(ISNUMBER(F38),F38,0)</f>
        <v>0</v>
      </c>
      <c r="Q38" s="0" t="n">
        <f aca="false">IF(ISNUMBER(F38),E38,0)</f>
        <v>0</v>
      </c>
    </row>
    <row r="39" customFormat="false" ht="16.5" hidden="false" customHeight="true" outlineLevel="0" collapsed="false">
      <c r="A39" s="9" t="n">
        <f aca="false">IF(Žiniaraštis!A39="","",Žiniaraštis!A39)</f>
        <v>46112</v>
      </c>
      <c r="B39" s="12" t="str">
        <f aca="false">IF(Žiniaraštis!B39="","",Žiniaraštis!B39)</f>
        <v>An</v>
      </c>
      <c r="C39" s="38" t="n">
        <f aca="false">IF(Žiniaraštis!C39="","",Žiniaraštis!C39)</f>
        <v>0.333333333333333</v>
      </c>
      <c r="D39" s="38" t="n">
        <f aca="false">IF(Žiniaraštis!D39="","",Žiniaraštis!D39)</f>
        <v>0.708333333333333</v>
      </c>
      <c r="E39" s="44" t="n">
        <f aca="false">IF(OR(C39="",G38=""),"",G38)</f>
        <v>46108.7083333333</v>
      </c>
      <c r="F39" s="15" t="n">
        <f aca="false">IF(OR(E39="",C39=""),"",ROUND((A39+C39-E39)*24,2))</f>
        <v>87</v>
      </c>
      <c r="G39" s="45" t="n">
        <f aca="false">IF(OR(A39="",C39="",D39=""),G38,A39+C39+MOD(D39-C39,1))</f>
        <v>46112.7083333333</v>
      </c>
      <c r="P39" s="46" t="n">
        <f aca="false">IF(ISNUMBER(F39),F39,0)</f>
        <v>87</v>
      </c>
      <c r="Q39" s="45" t="n">
        <f aca="false">IF(ISNUMBER(F39),E39,0)</f>
        <v>46108.7083333333</v>
      </c>
    </row>
  </sheetData>
  <sheetProtection sheet="true"/>
  <mergeCells count="34">
    <mergeCell ref="H3:K3"/>
    <mergeCell ref="H4:K4"/>
    <mergeCell ref="H5:K5"/>
    <mergeCell ref="L8:M8"/>
    <mergeCell ref="L9:M9"/>
    <mergeCell ref="L10:M10"/>
    <mergeCell ref="L11:M11"/>
    <mergeCell ref="L12:M12"/>
    <mergeCell ref="L13:M13"/>
    <mergeCell ref="L14:M14"/>
    <mergeCell ref="H15:I15"/>
    <mergeCell ref="K15:M15"/>
    <mergeCell ref="I19:J19"/>
    <mergeCell ref="K19:M19"/>
    <mergeCell ref="I20:J20"/>
    <mergeCell ref="K20:M20"/>
    <mergeCell ref="I21:J21"/>
    <mergeCell ref="K21:M21"/>
    <mergeCell ref="I22:J22"/>
    <mergeCell ref="K22:M22"/>
    <mergeCell ref="I23:J23"/>
    <mergeCell ref="K23:M23"/>
    <mergeCell ref="I24:J24"/>
    <mergeCell ref="K24:M24"/>
    <mergeCell ref="I25:J25"/>
    <mergeCell ref="K25:M25"/>
    <mergeCell ref="I26:J26"/>
    <mergeCell ref="K26:M26"/>
    <mergeCell ref="H28:I28"/>
    <mergeCell ref="J28:L28"/>
    <mergeCell ref="H29:I29"/>
    <mergeCell ref="J29:L29"/>
    <mergeCell ref="H30:I30"/>
    <mergeCell ref="J30:L30"/>
  </mergeCells>
  <conditionalFormatting sqref="F9:F39">
    <cfRule type="expression" priority="2" aboveAverage="0" equalAverage="0" bottom="0" percent="0" rank="0" text="" dxfId="3">
      <formula>AND(ISNUMBER(F9),F9&lt;$L$4)</formula>
    </cfRule>
  </conditionalFormatting>
  <conditionalFormatting sqref="A9:E39">
    <cfRule type="expression" priority="3" aboveAverage="0" equalAverage="0" bottom="0" percent="0" rank="0" text="" dxfId="1">
      <formula>AND(ISNUMBER($A9),WEEKDAY($A9,2)&gt;5)</formula>
    </cfRule>
  </conditionalFormatting>
  <conditionalFormatting sqref="J9:J14">
    <cfRule type="expression" priority="4" aboveAverage="0" equalAverage="0" bottom="0" percent="0" rank="0" text="" dxfId="4">
      <formula>AND(ISNUMBER(J9),J9&gt;$L$3)</formula>
    </cfRule>
  </conditionalFormatting>
  <conditionalFormatting sqref="J15:K15">
    <cfRule type="expression" priority="5" aboveAverage="0" equalAverage="0" bottom="0" percent="0" rank="0" text="" dxfId="3">
      <formula>$J$15&gt;$L$3</formula>
    </cfRule>
  </conditionalFormatting>
  <conditionalFormatting sqref="K9:M14">
    <cfRule type="expression" priority="6" aboveAverage="0" equalAverage="0" bottom="0" percent="0" rank="0" text="" dxfId="3">
      <formula>$L9="Ne"</formula>
    </cfRule>
  </conditionalFormatting>
  <conditionalFormatting sqref="J30">
    <cfRule type="expression" priority="7" aboveAverage="0" equalAverage="0" bottom="0" percent="0" rank="0" text="" dxfId="5">
      <formula>J30="Užrakinta"</formula>
    </cfRule>
    <cfRule type="expression" priority="8" aboveAverage="0" equalAverage="0" bottom="0" percent="0" rank="0" text="" dxfId="2">
      <formula>LEFT(J30,4)="Neuž"</formula>
    </cfRule>
  </conditionalFormatting>
  <dataValidations count="1">
    <dataValidation allowBlank="true" errorStyle="stop" operator="between" showDropDown="false" showErrorMessage="false" showInputMessage="false" sqref="N20:N26" type="list">
      <formula1>"Taip,Ne"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4" min="3" style="0" width="12"/>
    <col collapsed="false" customWidth="true" hidden="false" outlineLevel="0" max="5" min="5" style="0" width="52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149</v>
      </c>
      <c r="F1" s="2" t="s">
        <v>1</v>
      </c>
    </row>
    <row r="2" customFormat="false" ht="15" hidden="false" customHeight="false" outlineLevel="0" collapsed="false">
      <c r="A2" s="7" t="s">
        <v>150</v>
      </c>
    </row>
    <row r="4" customFormat="false" ht="30" hidden="false" customHeight="true" outlineLevel="0" collapsed="false">
      <c r="A4" s="11" t="s">
        <v>14</v>
      </c>
      <c r="B4" s="11" t="s">
        <v>82</v>
      </c>
      <c r="C4" s="11" t="s">
        <v>151</v>
      </c>
      <c r="D4" s="11" t="s">
        <v>152</v>
      </c>
      <c r="E4" s="11" t="s">
        <v>153</v>
      </c>
      <c r="F4" s="11" t="s">
        <v>154</v>
      </c>
      <c r="G4" s="11" t="s">
        <v>155</v>
      </c>
    </row>
    <row r="5" customFormat="false" ht="30" hidden="false" customHeight="true" outlineLevel="0" collapsed="false">
      <c r="A5" s="32" t="n">
        <v>46093</v>
      </c>
      <c r="B5" s="31" t="s">
        <v>7</v>
      </c>
      <c r="C5" s="34" t="s">
        <v>156</v>
      </c>
      <c r="D5" s="34" t="s">
        <v>157</v>
      </c>
      <c r="E5" s="31" t="s">
        <v>158</v>
      </c>
      <c r="F5" s="31" t="s">
        <v>159</v>
      </c>
      <c r="G5" s="55" t="n">
        <v>46093.3854166667</v>
      </c>
    </row>
    <row r="6" customFormat="false" ht="30" hidden="false" customHeight="true" outlineLevel="0" collapsed="false">
      <c r="A6" s="32" t="n">
        <v>46107</v>
      </c>
      <c r="B6" s="31" t="s">
        <v>7</v>
      </c>
      <c r="C6" s="34" t="s">
        <v>160</v>
      </c>
      <c r="D6" s="34" t="s">
        <v>161</v>
      </c>
      <c r="E6" s="31" t="s">
        <v>162</v>
      </c>
      <c r="F6" s="31" t="s">
        <v>159</v>
      </c>
      <c r="G6" s="55" t="n">
        <v>46108.3611111111</v>
      </c>
    </row>
    <row r="7" customFormat="false" ht="15.75" hidden="false" customHeight="true" outlineLevel="0" collapsed="false">
      <c r="A7" s="32"/>
      <c r="B7" s="31"/>
      <c r="C7" s="34"/>
      <c r="D7" s="34"/>
      <c r="E7" s="31"/>
      <c r="F7" s="31"/>
      <c r="G7" s="55"/>
    </row>
    <row r="8" customFormat="false" ht="15.75" hidden="false" customHeight="true" outlineLevel="0" collapsed="false">
      <c r="A8" s="32"/>
      <c r="B8" s="31"/>
      <c r="C8" s="34"/>
      <c r="D8" s="34"/>
      <c r="E8" s="31"/>
      <c r="F8" s="31"/>
      <c r="G8" s="55"/>
    </row>
    <row r="9" customFormat="false" ht="15.75" hidden="false" customHeight="true" outlineLevel="0" collapsed="false">
      <c r="A9" s="32"/>
      <c r="B9" s="31"/>
      <c r="C9" s="34"/>
      <c r="D9" s="34"/>
      <c r="E9" s="31"/>
      <c r="F9" s="31"/>
      <c r="G9" s="55"/>
    </row>
    <row r="10" customFormat="false" ht="15.75" hidden="false" customHeight="true" outlineLevel="0" collapsed="false">
      <c r="A10" s="32"/>
      <c r="B10" s="31"/>
      <c r="C10" s="34"/>
      <c r="D10" s="34"/>
      <c r="E10" s="31"/>
      <c r="F10" s="31"/>
      <c r="G10" s="55"/>
    </row>
    <row r="11" customFormat="false" ht="15.75" hidden="false" customHeight="true" outlineLevel="0" collapsed="false">
      <c r="A11" s="32"/>
      <c r="B11" s="31"/>
      <c r="C11" s="34"/>
      <c r="D11" s="34"/>
      <c r="E11" s="31"/>
      <c r="F11" s="31"/>
      <c r="G11" s="55"/>
    </row>
    <row r="12" customFormat="false" ht="15.75" hidden="false" customHeight="true" outlineLevel="0" collapsed="false">
      <c r="A12" s="32"/>
      <c r="B12" s="31"/>
      <c r="C12" s="34"/>
      <c r="D12" s="34"/>
      <c r="E12" s="31"/>
      <c r="F12" s="31"/>
      <c r="G12" s="55"/>
    </row>
    <row r="13" customFormat="false" ht="15.75" hidden="false" customHeight="true" outlineLevel="0" collapsed="false">
      <c r="A13" s="32"/>
      <c r="B13" s="31"/>
      <c r="C13" s="34"/>
      <c r="D13" s="34"/>
      <c r="E13" s="31"/>
      <c r="F13" s="31"/>
      <c r="G13" s="55"/>
    </row>
    <row r="14" customFormat="false" ht="15.75" hidden="false" customHeight="true" outlineLevel="0" collapsed="false">
      <c r="A14" s="32"/>
      <c r="B14" s="31"/>
      <c r="C14" s="34"/>
      <c r="D14" s="34"/>
      <c r="E14" s="31"/>
      <c r="F14" s="31"/>
      <c r="G14" s="55"/>
    </row>
    <row r="15" customFormat="false" ht="15.75" hidden="false" customHeight="true" outlineLevel="0" collapsed="false">
      <c r="A15" s="32"/>
      <c r="B15" s="31"/>
      <c r="C15" s="34"/>
      <c r="D15" s="34"/>
      <c r="E15" s="31"/>
      <c r="F15" s="31"/>
      <c r="G15" s="55"/>
    </row>
    <row r="16" customFormat="false" ht="15.75" hidden="false" customHeight="true" outlineLevel="0" collapsed="false">
      <c r="A16" s="32"/>
      <c r="B16" s="31"/>
      <c r="C16" s="34"/>
      <c r="D16" s="34"/>
      <c r="E16" s="31"/>
      <c r="F16" s="31"/>
      <c r="G16" s="55"/>
    </row>
    <row r="17" customFormat="false" ht="15.75" hidden="false" customHeight="true" outlineLevel="0" collapsed="false">
      <c r="A17" s="32"/>
      <c r="B17" s="31"/>
      <c r="C17" s="34"/>
      <c r="D17" s="34"/>
      <c r="E17" s="31"/>
      <c r="F17" s="31"/>
      <c r="G17" s="55"/>
    </row>
    <row r="18" customFormat="false" ht="15.75" hidden="false" customHeight="true" outlineLevel="0" collapsed="false">
      <c r="A18" s="32"/>
      <c r="B18" s="31"/>
      <c r="C18" s="34"/>
      <c r="D18" s="34"/>
      <c r="E18" s="31"/>
      <c r="F18" s="31"/>
      <c r="G18" s="55"/>
    </row>
    <row r="19" customFormat="false" ht="15.75" hidden="false" customHeight="true" outlineLevel="0" collapsed="false">
      <c r="A19" s="32"/>
      <c r="B19" s="31"/>
      <c r="C19" s="34"/>
      <c r="D19" s="34"/>
      <c r="E19" s="31"/>
      <c r="F19" s="31"/>
      <c r="G19" s="55"/>
    </row>
    <row r="20" customFormat="false" ht="15.75" hidden="false" customHeight="true" outlineLevel="0" collapsed="false">
      <c r="A20" s="32"/>
      <c r="B20" s="31"/>
      <c r="C20" s="34"/>
      <c r="D20" s="34"/>
      <c r="E20" s="31"/>
      <c r="F20" s="31"/>
      <c r="G20" s="55"/>
    </row>
    <row r="21" customFormat="false" ht="15.75" hidden="false" customHeight="true" outlineLevel="0" collapsed="false">
      <c r="A21" s="32"/>
      <c r="B21" s="31"/>
      <c r="C21" s="34"/>
      <c r="D21" s="34"/>
      <c r="E21" s="31"/>
      <c r="F21" s="31"/>
      <c r="G21" s="55"/>
    </row>
    <row r="22" customFormat="false" ht="15.75" hidden="false" customHeight="true" outlineLevel="0" collapsed="false">
      <c r="A22" s="32"/>
      <c r="B22" s="31"/>
      <c r="C22" s="34"/>
      <c r="D22" s="34"/>
      <c r="E22" s="31"/>
      <c r="F22" s="31"/>
      <c r="G22" s="55"/>
    </row>
    <row r="23" customFormat="false" ht="15.75" hidden="false" customHeight="true" outlineLevel="0" collapsed="false">
      <c r="A23" s="32"/>
      <c r="B23" s="31"/>
      <c r="C23" s="34"/>
      <c r="D23" s="34"/>
      <c r="E23" s="31"/>
      <c r="F23" s="31"/>
      <c r="G23" s="55"/>
    </row>
    <row r="24" customFormat="false" ht="15.75" hidden="false" customHeight="true" outlineLevel="0" collapsed="false">
      <c r="A24" s="32"/>
      <c r="B24" s="31"/>
      <c r="C24" s="34"/>
      <c r="D24" s="34"/>
      <c r="E24" s="31"/>
      <c r="F24" s="31"/>
      <c r="G24" s="55"/>
    </row>
    <row r="25" customFormat="false" ht="15.75" hidden="false" customHeight="true" outlineLevel="0" collapsed="false">
      <c r="A25" s="32"/>
      <c r="B25" s="31"/>
      <c r="C25" s="34"/>
      <c r="D25" s="34"/>
      <c r="E25" s="31"/>
      <c r="F25" s="31"/>
      <c r="G25" s="55"/>
    </row>
    <row r="26" customFormat="false" ht="15.75" hidden="false" customHeight="true" outlineLevel="0" collapsed="false">
      <c r="A26" s="32"/>
      <c r="B26" s="31"/>
      <c r="C26" s="34"/>
      <c r="D26" s="34"/>
      <c r="E26" s="31"/>
      <c r="F26" s="31"/>
      <c r="G26" s="55"/>
    </row>
    <row r="27" customFormat="false" ht="15.75" hidden="false" customHeight="true" outlineLevel="0" collapsed="false">
      <c r="A27" s="32"/>
      <c r="B27" s="31"/>
      <c r="C27" s="34"/>
      <c r="D27" s="34"/>
      <c r="E27" s="31"/>
      <c r="F27" s="31"/>
      <c r="G27" s="55"/>
    </row>
    <row r="28" customFormat="false" ht="15.75" hidden="false" customHeight="true" outlineLevel="0" collapsed="false">
      <c r="A28" s="32"/>
      <c r="B28" s="31"/>
      <c r="C28" s="34"/>
      <c r="D28" s="34"/>
      <c r="E28" s="31"/>
      <c r="F28" s="31"/>
      <c r="G28" s="55"/>
    </row>
    <row r="29" customFormat="false" ht="15.75" hidden="false" customHeight="true" outlineLevel="0" collapsed="false">
      <c r="A29" s="32"/>
      <c r="B29" s="31"/>
      <c r="C29" s="34"/>
      <c r="D29" s="34"/>
      <c r="E29" s="31"/>
      <c r="F29" s="31"/>
      <c r="G29" s="55"/>
    </row>
    <row r="30" customFormat="false" ht="15.75" hidden="false" customHeight="true" outlineLevel="0" collapsed="false">
      <c r="A30" s="32"/>
      <c r="B30" s="31"/>
      <c r="C30" s="34"/>
      <c r="D30" s="34"/>
      <c r="E30" s="31"/>
      <c r="F30" s="31"/>
      <c r="G30" s="55"/>
    </row>
    <row r="31" customFormat="false" ht="15.75" hidden="false" customHeight="true" outlineLevel="0" collapsed="false">
      <c r="A31" s="32"/>
      <c r="B31" s="31"/>
      <c r="C31" s="34"/>
      <c r="D31" s="34"/>
      <c r="E31" s="31"/>
      <c r="F31" s="31"/>
      <c r="G31" s="55"/>
    </row>
    <row r="32" customFormat="false" ht="15.75" hidden="false" customHeight="true" outlineLevel="0" collapsed="false">
      <c r="A32" s="32"/>
      <c r="B32" s="31"/>
      <c r="C32" s="34"/>
      <c r="D32" s="34"/>
      <c r="E32" s="31"/>
      <c r="F32" s="31"/>
      <c r="G32" s="55"/>
    </row>
    <row r="33" customFormat="false" ht="15.75" hidden="false" customHeight="true" outlineLevel="0" collapsed="false">
      <c r="A33" s="32"/>
      <c r="B33" s="31"/>
      <c r="C33" s="34"/>
      <c r="D33" s="34"/>
      <c r="E33" s="31"/>
      <c r="F33" s="31"/>
      <c r="G33" s="55"/>
    </row>
    <row r="34" customFormat="false" ht="15.75" hidden="false" customHeight="true" outlineLevel="0" collapsed="false">
      <c r="A34" s="32"/>
      <c r="B34" s="31"/>
      <c r="C34" s="34"/>
      <c r="D34" s="34"/>
      <c r="E34" s="31"/>
      <c r="F34" s="31"/>
      <c r="G34" s="55"/>
    </row>
    <row r="35" customFormat="false" ht="15.75" hidden="false" customHeight="true" outlineLevel="0" collapsed="false">
      <c r="A35" s="32"/>
      <c r="B35" s="31"/>
      <c r="C35" s="34"/>
      <c r="D35" s="34"/>
      <c r="E35" s="31"/>
      <c r="F35" s="31"/>
      <c r="G35" s="55"/>
    </row>
    <row r="36" customFormat="false" ht="15.75" hidden="false" customHeight="true" outlineLevel="0" collapsed="false">
      <c r="A36" s="32"/>
      <c r="B36" s="31"/>
      <c r="C36" s="34"/>
      <c r="D36" s="34"/>
      <c r="E36" s="31"/>
      <c r="F36" s="31"/>
      <c r="G36" s="55"/>
    </row>
    <row r="37" customFormat="false" ht="15.75" hidden="false" customHeight="true" outlineLevel="0" collapsed="false">
      <c r="A37" s="32"/>
      <c r="B37" s="31"/>
      <c r="C37" s="34"/>
      <c r="D37" s="34"/>
      <c r="E37" s="31"/>
      <c r="F37" s="31"/>
      <c r="G37" s="55"/>
    </row>
    <row r="38" customFormat="false" ht="15.75" hidden="false" customHeight="true" outlineLevel="0" collapsed="false">
      <c r="A38" s="32"/>
      <c r="B38" s="31"/>
      <c r="C38" s="34"/>
      <c r="D38" s="34"/>
      <c r="E38" s="31"/>
      <c r="F38" s="31"/>
      <c r="G38" s="55"/>
    </row>
    <row r="39" customFormat="false" ht="15.75" hidden="false" customHeight="true" outlineLevel="0" collapsed="false">
      <c r="A39" s="32"/>
      <c r="B39" s="31"/>
      <c r="C39" s="34"/>
      <c r="D39" s="34"/>
      <c r="E39" s="31"/>
      <c r="F39" s="31"/>
      <c r="G39" s="55"/>
    </row>
    <row r="40" customFormat="false" ht="15.75" hidden="false" customHeight="true" outlineLevel="0" collapsed="false">
      <c r="A40" s="32"/>
      <c r="B40" s="31"/>
      <c r="C40" s="34"/>
      <c r="D40" s="34"/>
      <c r="E40" s="31"/>
      <c r="F40" s="31"/>
      <c r="G40" s="55"/>
    </row>
    <row r="42" customFormat="false" ht="15" hidden="false" customHeight="false" outlineLevel="0" collapsed="false">
      <c r="A42" s="7" t="s">
        <v>163</v>
      </c>
    </row>
    <row r="43" customFormat="false" ht="15" hidden="false" customHeight="false" outlineLevel="0" collapsed="false">
      <c r="A43" s="7" t="s">
        <v>164</v>
      </c>
    </row>
  </sheetData>
  <sheetProtection sheet="true"/>
  <conditionalFormatting sqref="F5:G40">
    <cfRule type="expression" priority="2" aboveAverage="0" equalAverage="0" bottom="0" percent="0" rank="0" text="" dxfId="6">
      <formula>AND($A5&lt;&gt;"",F5="")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2026-10-25T12:24:01Z</dcterms:created>
  <dc:creator>openpyxl</dc:creator>
  <dc:description/>
  <dc:language>lt-LT</dc:language>
  <cp:lastModifiedBy/>
  <dcterms:modified xsi:type="dcterms:W3CDTF">2026-10-25T12:24:01Z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