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arta ewidencji" sheetId="1" state="visible" r:id="rId3"/>
    <sheet name="Kody" sheetId="2" state="visible" r:id="rId4"/>
    <sheet name="Wymiar" sheetId="3" state="visible" r:id="rId5"/>
    <sheet name="Kontrola" sheetId="4" state="visible" r:id="rId6"/>
  </sheets>
  <definedNames>
    <definedName function="false" hidden="false" localSheetId="0" name="_xlnm.Print_Area" vbProcedure="false">'Karta ewidencji'!$A$1:$O$51</definedName>
    <definedName function="false" hidden="false" localSheetId="3" name="_xlnm.Print_Area" vbProcedure="false">Kontrola!$A$1:$M$65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<sst xmlns="http://schemas.openxmlformats.org/spreadsheetml/2006/main" count="222" uniqueCount="191">
  <si>
    <t xml:space="preserve">Karta ewidencji czasu pracy</t>
  </si>
  <si>
    <t xml:space="preserve">Przykład hipotetyczny — orova.vn</t>
  </si>
  <si>
    <t xml:space="preserve">Pracodawca:</t>
  </si>
  <si>
    <t xml:space="preserve">Przykładowa Hurtownia Sp. z o.o.</t>
  </si>
  <si>
    <t xml:space="preserve">System czasu pracy:</t>
  </si>
  <si>
    <t xml:space="preserve">Podstawowy</t>
  </si>
  <si>
    <t xml:space="preserve">Imię i nazwisko:</t>
  </si>
  <si>
    <t xml:space="preserve">Anna Nowak</t>
  </si>
  <si>
    <t xml:space="preserve">Okres rozliczeniowy:</t>
  </si>
  <si>
    <t xml:space="preserve">1 miesiąc</t>
  </si>
  <si>
    <t xml:space="preserve">Stanowisko:</t>
  </si>
  <si>
    <t xml:space="preserve">Specjalistka ds. obsługi zamówień</t>
  </si>
  <si>
    <t xml:space="preserve">Pora nocna od:</t>
  </si>
  <si>
    <t xml:space="preserve">Pora nocna: 8 godzin między 21:00 a 7:00 (art. 151⁷ § 1), godziny ustala zakład.</t>
  </si>
  <si>
    <t xml:space="preserve">Wymiar etatu:</t>
  </si>
  <si>
    <t xml:space="preserve">Pora nocna do:</t>
  </si>
  <si>
    <t xml:space="preserve">Koniec 24:00 wpisz jako 0:00.</t>
  </si>
  <si>
    <t xml:space="preserve">Miesiąc:</t>
  </si>
  <si>
    <t xml:space="preserve">Rozkład:</t>
  </si>
  <si>
    <t xml:space="preserve">7:00–15:00 lub 15:00–23:00</t>
  </si>
  <si>
    <t xml:space="preserve">Data</t>
  </si>
  <si>
    <t xml:space="preserve">Dzień</t>
  </si>
  <si>
    <t xml:space="preserve">Początek</t>
  </si>
  <si>
    <t xml:space="preserve">Koniec</t>
  </si>
  <si>
    <t xml:space="preserve">Godziny
przepracowane</t>
  </si>
  <si>
    <t xml:space="preserve">Przerwa
(system przer., h)</t>
  </si>
  <si>
    <t xml:space="preserve">Pora nocna
(h)</t>
  </si>
  <si>
    <t xml:space="preserve">N50
(h)</t>
  </si>
  <si>
    <t xml:space="preserve">N100
(h)</t>
  </si>
  <si>
    <t xml:space="preserve">Dyżur od</t>
  </si>
  <si>
    <t xml:space="preserve">Dyżur do</t>
  </si>
  <si>
    <t xml:space="preserve">Miejsce
dyżuru</t>
  </si>
  <si>
    <t xml:space="preserve">Kod</t>
  </si>
  <si>
    <t xml:space="preserve">Nieobecność
(h)</t>
  </si>
  <si>
    <t xml:space="preserve">Uwagi</t>
  </si>
  <si>
    <t xml:space="preserve">Wszystkich Świętych (niedziela)</t>
  </si>
  <si>
    <t xml:space="preserve">Tydzień z przykładu w kroku 5 (2–8.11)</t>
  </si>
  <si>
    <t xml:space="preserve">2 h ponad normę dobową w dniu powszednim → N50</t>
  </si>
  <si>
    <t xml:space="preserve">Koniec 24:00 (wpisz 0:00); 23:00–24:00 w porze nocnej → N100</t>
  </si>
  <si>
    <t xml:space="preserve">UW</t>
  </si>
  <si>
    <t xml:space="preserve">Urlop wypoczynkowy, wniosek zatwierdzony</t>
  </si>
  <si>
    <t xml:space="preserve">W</t>
  </si>
  <si>
    <t xml:space="preserve">Niedziela</t>
  </si>
  <si>
    <t xml:space="preserve">Narodowe Święto Niepodległości (święto)</t>
  </si>
  <si>
    <t xml:space="preserve">Zmiana 15:00–23:00</t>
  </si>
  <si>
    <t xml:space="preserve">Razem w miesiącu</t>
  </si>
  <si>
    <t xml:space="preserve">Nadgodziny z przeciętnej normy tygodniowej (art. 151¹ § 2) — po zamknięciu okresu rozliczeniowego</t>
  </si>
  <si>
    <t xml:space="preserve">Wzór: godziny w normie dobowej + nieobecności usprawiedliwione − wymiar (arkusz Wymiar)</t>
  </si>
  <si>
    <t xml:space="preserve">Godziny przepracowane = MOD(Koniec − Początek; 1) × 24 − Przerwa: zmiana kończąca się po północy liczy się poprawnie.</t>
  </si>
  <si>
    <t xml:space="preserve">Przerwa: tylko w systemie przerywanym — jedna przerwa w ciągu doby, nie dłuższa niż 5 godzin, niewliczana do czasu pracy (art. 139 § 1).</t>
  </si>
  <si>
    <t xml:space="preserve">Pora nocna: część przedziału Początek–Koniec przypadająca w porze nocnej z nagłówka (bez odejmowania przerwy).</t>
  </si>
  <si>
    <t xml:space="preserve">N50 / N100: godziny ponad normę dobową wpisujesz ręcznie — N100 w nocy, w niedziele i święta niebędące dniami pracy oraz w dniu wolnym za pracę w niedzielę lub święto (art. 151¹ § 1 pkt 1), pozostałe N50 (pkt 2).</t>
  </si>
  <si>
    <t xml:space="preserve">Kod: lista rozwijana z 15 kodami z arkusza Kody. Nieobecność: liczba godzin nieobecności według rozkładu (np. UW 8 h).</t>
  </si>
  <si>
    <t xml:space="preserve">Przy okresie rozliczeniowym dłuższym niż 1 miesiąc nadgodziny z przeciętnej normy tygodniowej licz po zamknięciu całego okresu, z sum wszystkich kart.</t>
  </si>
  <si>
    <t xml:space="preserve">Żółte = pola do wpisania; szare = liczone (arkusz chroniony bez hasła). Plik liczy tylko godziny — wynagrodzenia i dodatki liczy program płacowy.</t>
  </si>
  <si>
    <t xml:space="preserve">Przykład hipotetyczny: osoba, firma i godziny są zmyślone. Aktualny tekst przepisów sprawdź w ISAP.</t>
  </si>
  <si>
    <t xml:space="preserve">Kody dni wolnych, nieobecności i nadgodzin</t>
  </si>
  <si>
    <t xml:space="preserve">Przepisy nie narzucają konkretnych liter — to propozycja do przyjęcia w firmie. Każdy kod ma wskazywać tytuł dnia wolnego albo rodzaj nieobecności (§ 6 pkt 1 lit. a rozporządzenia).</t>
  </si>
  <si>
    <t xml:space="preserve">Znaczenie</t>
  </si>
  <si>
    <t xml:space="preserve">Uwagi i przepis do sprawdzenia</t>
  </si>
  <si>
    <t xml:space="preserve">W karcie
(ten miesiąc)</t>
  </si>
  <si>
    <t xml:space="preserve">Dzień wolny z tytułu przeciętnie pięciodniowego tygodnia pracy</t>
  </si>
  <si>
    <t xml:space="preserve">Art. 129 § 1 Kodeksu pracy</t>
  </si>
  <si>
    <t xml:space="preserve">WN</t>
  </si>
  <si>
    <t xml:space="preserve">Dzień wolny w zamian za pracę w niedzielę lub święto</t>
  </si>
  <si>
    <t xml:space="preserve">Art. 151¹¹ § 1 Kodeksu pracy</t>
  </si>
  <si>
    <t xml:space="preserve">WD</t>
  </si>
  <si>
    <t xml:space="preserve">Dzień wolny w zamian za pracę w dniu wolnym z rozkładu</t>
  </si>
  <si>
    <t xml:space="preserve">Art. 151³ Kodeksu pracy</t>
  </si>
  <si>
    <t xml:space="preserve">Urlop wypoczynkowy</t>
  </si>
  <si>
    <t xml:space="preserve">Termin według planu urlopów lub uzgodnienia</t>
  </si>
  <si>
    <t xml:space="preserve">UŻ</t>
  </si>
  <si>
    <t xml:space="preserve">Urlop na żądanie</t>
  </si>
  <si>
    <t xml:space="preserve">Nie więcej niż 4 dni w roku kalendarzowym (art. 167²)</t>
  </si>
  <si>
    <t xml:space="preserve">UO</t>
  </si>
  <si>
    <t xml:space="preserve">Urlop lub zwolnienie okolicznościowe</t>
  </si>
  <si>
    <t xml:space="preserve">Rodzaj zdarzenia wpisz w kolumnie Uwagi</t>
  </si>
  <si>
    <t xml:space="preserve">UOP</t>
  </si>
  <si>
    <t xml:space="preserve">Urlop opiekuńczy</t>
  </si>
  <si>
    <t xml:space="preserve">5 dni w roku kalendarzowym (art. 173¹ § 1)</t>
  </si>
  <si>
    <t xml:space="preserve">SW</t>
  </si>
  <si>
    <t xml:space="preserve">Zwolnienie od pracy z powodu siły wyższej</t>
  </si>
  <si>
    <t xml:space="preserve">2 dni albo 16 godzin w roku (art. 148¹ § 1)</t>
  </si>
  <si>
    <t xml:space="preserve">CH</t>
  </si>
  <si>
    <t xml:space="preserve">Niezdolność do pracy z powodu choroby</t>
  </si>
  <si>
    <t xml:space="preserve">Na podstawie zaświadczenia lekarskiego (e-ZLA)</t>
  </si>
  <si>
    <t xml:space="preserve">OP</t>
  </si>
  <si>
    <t xml:space="preserve">Opieka nad dzieckiem lub członkiem rodziny</t>
  </si>
  <si>
    <t xml:space="preserve">Na podstawie zaświadczenia lub oświadczenia</t>
  </si>
  <si>
    <t xml:space="preserve">MD</t>
  </si>
  <si>
    <t xml:space="preserve">Urlop macierzyński lub rodzicielski</t>
  </si>
  <si>
    <t xml:space="preserve">Okres według wniosku pracownika</t>
  </si>
  <si>
    <t xml:space="preserve">UB</t>
  </si>
  <si>
    <t xml:space="preserve">Urlop bezpłatny</t>
  </si>
  <si>
    <t xml:space="preserve">Na wniosek pracownika</t>
  </si>
  <si>
    <t xml:space="preserve">NN</t>
  </si>
  <si>
    <t xml:space="preserve">Nieobecność nieusprawiedliwiona</t>
  </si>
  <si>
    <t xml:space="preserve">§ 6 wymaga wykazania jej wymiaru</t>
  </si>
  <si>
    <t xml:space="preserve">N50</t>
  </si>
  <si>
    <t xml:space="preserve">Godziny nadliczbowe z dodatkiem 50%</t>
  </si>
  <si>
    <t xml:space="preserve">Art. 151¹ § 1 pkt 2 Kodeksu pracy</t>
  </si>
  <si>
    <t xml:space="preserve">N100</t>
  </si>
  <si>
    <t xml:space="preserve">Godziny nadliczbowe z dodatkiem 100% (w nocy, w niedziele i święta niebędące dniami pracy, w dniu wolnym udzielonym za pracę w niedzielę lub święto)</t>
  </si>
  <si>
    <t xml:space="preserve">Art. 151¹ § 1 pkt 1 Kodeksu pracy</t>
  </si>
  <si>
    <t xml:space="preserve">N50 i N100 nie są kodami dnia — w karcie mają osobne kolumny godzin; tu pokazujemy ich sumę.</t>
  </si>
  <si>
    <t xml:space="preserve">Dzień świąteczny lub niedzielę bez pracy zostaw bez kodu i opisz w kolumnie Uwagi.</t>
  </si>
  <si>
    <t xml:space="preserve">Wymiar czasu pracy w okresie rozliczeniowym (art. 130 § 1–2 Kodeksu pracy)</t>
  </si>
  <si>
    <t xml:space="preserve">Początek okresu</t>
  </si>
  <si>
    <t xml:space="preserve">Święta (dni wolne od pracy) w okresie — uzupełnij</t>
  </si>
  <si>
    <t xml:space="preserve">Koniec okresu</t>
  </si>
  <si>
    <t xml:space="preserve">Nazwa</t>
  </si>
  <si>
    <t xml:space="preserve">Obniża wymiar?</t>
  </si>
  <si>
    <t xml:space="preserve">Dni kalendarzowe w okresie</t>
  </si>
  <si>
    <t xml:space="preserve">Wszystkich Świętych</t>
  </si>
  <si>
    <t xml:space="preserve">Pełne tygodnie (po 7 dni)</t>
  </si>
  <si>
    <t xml:space="preserve">Narodowe Święto Niepodległości</t>
  </si>
  <si>
    <t xml:space="preserve">Pozostałe dni od poniedziałku do piątku</t>
  </si>
  <si>
    <t xml:space="preserve">Święta przypadające w innym dniu niż niedziela</t>
  </si>
  <si>
    <t xml:space="preserve">Wymiar: 40 h × tygodnie + 8 h × pozostałe dni − 8 h × święta</t>
  </si>
  <si>
    <t xml:space="preserve">Wymiar etatu (z karty)</t>
  </si>
  <si>
    <t xml:space="preserve">Wymiar dla pracownika (h)</t>
  </si>
  <si>
    <t xml:space="preserve">Wymiar użyty w karcie i kontroli (h)</t>
  </si>
  <si>
    <t xml:space="preserve">Listopad 2026: 1.11 (Wszystkich Świętych) wypada w niedzielę, więc nie obniża wymiaru; 11.11 (Narodowe Święto Niepodległości) wypada w środę: 4 × 40 + 8 − 8 = 160 h.</t>
  </si>
  <si>
    <t xml:space="preserve">Początek i koniec okresu można zmienić (np. okres 3-miesięczny); karta liczy wtedy jeden miesiąc, a nadgodziny z przeciętnej normy tygodniowej licz po zamknięciu całego okresu.</t>
  </si>
  <si>
    <t xml:space="preserve">Wymiar etatu &lt; 1: plik mnoży wymiar przez etat; zasady dla niepełnego etatu sprawdź w regulaminie i przepisach.</t>
  </si>
  <si>
    <t xml:space="preserve">Daty świąt sprawdź w art. 1 pkt 1 ustawy o dniach wolnych od pracy (1.11 i 11.11: lit. j–k, Dz.U. 2025 poz. 296).</t>
  </si>
  <si>
    <t xml:space="preserve">Kontrola karty przed zamknięciem miesiąca</t>
  </si>
  <si>
    <t xml:space="preserve">A. Kontrola automatyczna</t>
  </si>
  <si>
    <t xml:space="preserve">Tygodnie (poniedziałek–niedziela)</t>
  </si>
  <si>
    <t xml:space="preserve">Co liczymy</t>
  </si>
  <si>
    <t xml:space="preserve">Wynik</t>
  </si>
  <si>
    <t xml:space="preserve">Status</t>
  </si>
  <si>
    <t xml:space="preserve">Tydzień od</t>
  </si>
  <si>
    <t xml:space="preserve">do</t>
  </si>
  <si>
    <t xml:space="preserve">Najdłuższy
odpoczynek (h)</t>
  </si>
  <si>
    <t xml:space="preserve">Odpoczynek
tygodniowy</t>
  </si>
  <si>
    <t xml:space="preserve">Dni od poniedziałku do soboty bez godzin i bez kodu (poza świętami)</t>
  </si>
  <si>
    <t xml:space="preserve">Godziny przepracowane w miesiącu</t>
  </si>
  <si>
    <t xml:space="preserve">w tym nadgodziny N50</t>
  </si>
  <si>
    <t xml:space="preserve">w tym nadgodziny N100</t>
  </si>
  <si>
    <t xml:space="preserve">Godziny usprawiedliwionej nieobecności (kolumna Nieobecność, bez NN)</t>
  </si>
  <si>
    <t xml:space="preserve">Godziny w normie + nieobecności = przepracowane − N50 − N100 + nieobecności</t>
  </si>
  <si>
    <t xml:space="preserve">Wymiar czasu pracy (arkusz Wymiar)</t>
  </si>
  <si>
    <t xml:space="preserve">Tydzień 2–8.11 = przykład z kroku 5: 35 h, pora nocna 2 h, N50 2 h, N100 1 h.</t>
  </si>
  <si>
    <t xml:space="preserve">Różnica (bilans z wymiarem)</t>
  </si>
  <si>
    <t xml:space="preserve">Tygodnie wychodzące poza miesiąc sprawdź razem z kartą sąsiedniego miesiąca.</t>
  </si>
  <si>
    <t xml:space="preserve">Dni z odpoczynkiem dobowym krótszym niż 11 h (art. 132 § 1)</t>
  </si>
  <si>
    <t xml:space="preserve">Najdłuższy odpoczynek: liczony od końca pracy w danym tygodniu do następnego rozpoczęcia (art. 133 § 1: co najmniej 35 h).</t>
  </si>
  <si>
    <t xml:space="preserve">Pełne tygodnie z odpoczynkiem krótszym niż 35 h (art. 133 § 1)</t>
  </si>
  <si>
    <t xml:space="preserve">B. Checklista przed zamknięciem miesiąca</t>
  </si>
  <si>
    <t xml:space="preserve">Obszar kontroli</t>
  </si>
  <si>
    <t xml:space="preserve">Co sprawdzić</t>
  </si>
  <si>
    <t xml:space="preserve">Podstawa</t>
  </si>
  <si>
    <t xml:space="preserve">Godziny pracy</t>
  </si>
  <si>
    <t xml:space="preserve">Godzina rozpoczęcia i zakończenia oraz liczba godzin każdego dnia</t>
  </si>
  <si>
    <t xml:space="preserve">§ 6 pkt 1 lit. a</t>
  </si>
  <si>
    <t xml:space="preserve">Do sprawdzenia</t>
  </si>
  <si>
    <t xml:space="preserve">Nadgodziny</t>
  </si>
  <si>
    <t xml:space="preserve">Rozdzielone 50% i 100%, dobowe i z tytułu przeciętnej normy tygodniowej</t>
  </si>
  <si>
    <t xml:space="preserve">Art. 151¹ § 1–2</t>
  </si>
  <si>
    <t xml:space="preserve">Pora nocna</t>
  </si>
  <si>
    <t xml:space="preserve">Liczba godzin w porze nocnej ustalonej w zakładzie</t>
  </si>
  <si>
    <t xml:space="preserve">Art. 151⁷ § 1; § 6</t>
  </si>
  <si>
    <t xml:space="preserve">Dyżury</t>
  </si>
  <si>
    <t xml:space="preserve">Godziny od–do i miejsce pełnienia dyżuru</t>
  </si>
  <si>
    <t xml:space="preserve">§ 6; art. 151⁵</t>
  </si>
  <si>
    <t xml:space="preserve">Dni wolne</t>
  </si>
  <si>
    <t xml:space="preserve">Tytuł każdego dnia wolnego (W, WN, WD)</t>
  </si>
  <si>
    <t xml:space="preserve">§ 6; art. 151³, 151¹¹</t>
  </si>
  <si>
    <t xml:space="preserve">Wnioski</t>
  </si>
  <si>
    <t xml:space="preserve">Każdy kod urlopu lub zwolnienia ma wniosek</t>
  </si>
  <si>
    <t xml:space="preserve">§ 6 pkt 1 lit. b</t>
  </si>
  <si>
    <t xml:space="preserve">Nieobecności</t>
  </si>
  <si>
    <t xml:space="preserve">Rodzaj i wymiar usprawiedliwionych, wymiar nieusprawiedliwionych</t>
  </si>
  <si>
    <t xml:space="preserve">Odpoczynek</t>
  </si>
  <si>
    <t xml:space="preserve">Co najmniej 11 godzin dobowego i 35 godzin tygodniowego odpoczynku</t>
  </si>
  <si>
    <t xml:space="preserve">Art. 132 § 1, art. 133 § 1</t>
  </si>
  <si>
    <t xml:space="preserve">Historia zmian</t>
  </si>
  <si>
    <t xml:space="preserve">Kto, kiedy i dlaczego zmienił wpis w karcie</t>
  </si>
  <si>
    <t xml:space="preserve">Dobra praktyka dowodowa</t>
  </si>
  <si>
    <t xml:space="preserve">Przechowywanie</t>
  </si>
  <si>
    <t xml:space="preserve">Okres zatrudnienia i 10 lat od końca roku, w którym stosunek pracy ustał</t>
  </si>
  <si>
    <t xml:space="preserve">Art. 94 pkt 9b</t>
  </si>
  <si>
    <t xml:space="preserve">Sprawdził(a): ____________________   Data: __.__.____   Podpis: ____________________</t>
  </si>
  <si>
    <t xml:space="preserve">Plik nie liczy wynagrodzeń ani dodatków — tylko godziny i dni. Przykład hipotetyczny.</t>
  </si>
  <si>
    <t xml:space="preserve">Odpoczynek dobowy dzień po dniu (art. 132 § 1: co najmniej 11 h)</t>
  </si>
  <si>
    <t xml:space="preserve">Początek pracy</t>
  </si>
  <si>
    <t xml:space="preserve">Koniec pracy</t>
  </si>
  <si>
    <t xml:space="preserve">Ostatni koniec
pracy przed</t>
  </si>
  <si>
    <t xml:space="preserve">Odpoczynek
przed pracą (h)</t>
  </si>
  <si>
    <t xml:space="preserve">Dzień bez pracy przenosi ostatni koniec pracy dalej. Pierwszy dzień miesiąca porównaj ręcznie z kartą z poprzedniego miesiąca.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</si>
</sst>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hh\:mm"/>
    <numFmt numFmtId="166" formatCode="0.00"/>
    <numFmt numFmtId="167" formatCode="mm\.yyyy"/>
    <numFmt numFmtId="168" formatCode="dd\.mm\.yyyy"/>
    <numFmt numFmtId="169" formatCode="0&quot; dni&quot;"/>
    <numFmt numFmtId="170" formatCode="0.00&quot; h&quot;"/>
    <numFmt numFmtId="171" formatCode="0"/>
    <numFmt numFmtId="172" formatCode="0.00;\-0.00;\—"/>
    <numFmt numFmtId="173" formatCode="[=0]&quot;&quot;;dd\.mm\.yyyy"/>
    <numFmt numFmtId="174" formatCode="[=0]\—;dd\.mm\ hh\:mm"/>
  </numFmts>
  <fonts count="13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DDE3EA"/>
        <bgColor rgb="FFD9DDE3"/>
      </patternFill>
    </fill>
    <fill>
      <patternFill patternType="solid">
        <fgColor rgb="FFEAECEF"/>
        <bgColor rgb="FFEEF2F7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9DDE3"/>
        </patternFill>
      </fill>
    </dxf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ont>
        <name val="Arial"/>
        <charset val="1"/>
        <family val="0"/>
        <b val="1"/>
        <color rgb="FF1E6B34"/>
        <sz val="10"/>
      </font>
      <fill>
        <patternFill>
          <bgColor rgb="FFE3F1E6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1E6B34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3F1E6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EAECEF"/>
      <rgbColor rgb="FFDDE3EA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5.51"/>
    <col collapsed="false" customWidth="true" hidden="false" outlineLevel="0" max="4" min="3" style="0" width="8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9.51"/>
    <col collapsed="false" customWidth="true" hidden="false" outlineLevel="0" max="9" min="8" style="0" width="6.51"/>
    <col collapsed="false" customWidth="true" hidden="false" outlineLevel="0" max="11" min="10" style="0" width="7.5"/>
    <col collapsed="false" customWidth="true" hidden="false" outlineLevel="0" max="12" min="12" style="0" width="10"/>
    <col collapsed="false" customWidth="true" hidden="false" outlineLevel="0" max="13" min="13" style="0" width="6.51"/>
    <col collapsed="false" customWidth="true" hidden="false" outlineLevel="0" max="14" min="14" style="0" width="11"/>
    <col collapsed="false" customWidth="true" hidden="false" outlineLevel="0" max="15" min="15" style="0" width="46"/>
  </cols>
  <sheetData>
    <row r="1" customFormat="false" ht="17.35" hidden="false" customHeight="false" outlineLevel="0" collapsed="false">
      <c r="A1" s="1" t="s">
        <v>0</v>
      </c>
      <c r="K1" s="2" t="s">
        <v>1</v>
      </c>
    </row>
    <row r="3" customFormat="false" ht="15" hidden="false" customHeight="false" outlineLevel="0" collapsed="false">
      <c r="A3" s="3" t="s">
        <v>2</v>
      </c>
      <c r="C3" s="4" t="s">
        <v>3</v>
      </c>
      <c r="D3" s="4"/>
      <c r="E3" s="4"/>
      <c r="F3" s="4"/>
      <c r="G3" s="4"/>
      <c r="I3" s="3" t="s">
        <v>4</v>
      </c>
      <c r="L3" s="4" t="s">
        <v>5</v>
      </c>
      <c r="M3" s="4"/>
      <c r="N3" s="4"/>
    </row>
    <row r="4" customFormat="false" ht="15" hidden="false" customHeight="false" outlineLevel="0" collapsed="false">
      <c r="A4" s="3" t="s">
        <v>6</v>
      </c>
      <c r="C4" s="4" t="s">
        <v>7</v>
      </c>
      <c r="D4" s="4"/>
      <c r="E4" s="4"/>
      <c r="F4" s="4"/>
      <c r="G4" s="4"/>
      <c r="I4" s="3" t="s">
        <v>8</v>
      </c>
      <c r="L4" s="4" t="s">
        <v>9</v>
      </c>
      <c r="M4" s="4"/>
      <c r="N4" s="4"/>
    </row>
    <row r="5" customFormat="false" ht="15" hidden="false" customHeight="false" outlineLevel="0" collapsed="false">
      <c r="A5" s="3" t="s">
        <v>10</v>
      </c>
      <c r="C5" s="4" t="s">
        <v>11</v>
      </c>
      <c r="D5" s="4"/>
      <c r="E5" s="4"/>
      <c r="F5" s="4"/>
      <c r="G5" s="4"/>
      <c r="I5" s="3" t="s">
        <v>12</v>
      </c>
      <c r="L5" s="5" t="n">
        <v>0.916666666666667</v>
      </c>
      <c r="M5" s="6" t="s">
        <v>13</v>
      </c>
    </row>
    <row r="6" customFormat="false" ht="15" hidden="false" customHeight="false" outlineLevel="0" collapsed="false">
      <c r="A6" s="3" t="s">
        <v>14</v>
      </c>
      <c r="C6" s="7" t="n">
        <v>1</v>
      </c>
      <c r="D6" s="7"/>
      <c r="E6" s="7"/>
      <c r="F6" s="7"/>
      <c r="G6" s="7"/>
      <c r="I6" s="3" t="s">
        <v>15</v>
      </c>
      <c r="L6" s="5" t="n">
        <v>0.25</v>
      </c>
      <c r="M6" s="6" t="s">
        <v>16</v>
      </c>
    </row>
    <row r="7" customFormat="false" ht="15" hidden="false" customHeight="false" outlineLevel="0" collapsed="false">
      <c r="A7" s="3" t="s">
        <v>17</v>
      </c>
      <c r="C7" s="8" t="n">
        <v>46327</v>
      </c>
      <c r="D7" s="8"/>
      <c r="E7" s="8"/>
      <c r="F7" s="8"/>
      <c r="G7" s="8"/>
      <c r="I7" s="3" t="s">
        <v>18</v>
      </c>
      <c r="L7" s="4" t="s">
        <v>19</v>
      </c>
      <c r="M7" s="4"/>
      <c r="N7" s="4"/>
    </row>
    <row r="9" customFormat="false" ht="39.75" hidden="false" customHeight="true" outlineLevel="0" collapsed="false">
      <c r="A9" s="9" t="s">
        <v>20</v>
      </c>
      <c r="B9" s="9" t="s">
        <v>21</v>
      </c>
      <c r="C9" s="10" t="s">
        <v>22</v>
      </c>
      <c r="D9" s="10" t="s">
        <v>23</v>
      </c>
      <c r="E9" s="9" t="s">
        <v>24</v>
      </c>
      <c r="F9" s="10" t="s">
        <v>25</v>
      </c>
      <c r="G9" s="9" t="s">
        <v>26</v>
      </c>
      <c r="H9" s="10" t="s">
        <v>27</v>
      </c>
      <c r="I9" s="10" t="s">
        <v>28</v>
      </c>
      <c r="J9" s="10" t="s">
        <v>29</v>
      </c>
      <c r="K9" s="10" t="s">
        <v>30</v>
      </c>
      <c r="L9" s="10" t="s">
        <v>31</v>
      </c>
      <c r="M9" s="10" t="s">
        <v>32</v>
      </c>
      <c r="N9" s="10" t="s">
        <v>33</v>
      </c>
      <c r="O9" s="10" t="s">
        <v>34</v>
      </c>
    </row>
    <row r="10" customFormat="false" ht="15" hidden="false" customHeight="false" outlineLevel="0" collapsed="false">
      <c r="A10" s="11" t="n">
        <f aca="false">IF(0&lt;DAY(EOMONTH($C$7,0)),DATE(YEAR($C$7),MONTH($C$7),1)+0,"")</f>
        <v>46327</v>
      </c>
      <c r="B10" s="12" t="str">
        <f aca="false">IF(A10="","",CHOOSE(WEEKDAY(A10),"nd","pon","wt","śr","czw","pt","sob"))</f>
        <v>nd</v>
      </c>
      <c r="C10" s="13"/>
      <c r="D10" s="13"/>
      <c r="E10" s="14" t="str">
        <f aca="false">IF(OR(C10="",D10=""),"",ROUND(MOD(D10-C10,1)*24-N(F10),2))</f>
        <v/>
      </c>
      <c r="F10" s="15"/>
      <c r="G10" s="16" t="str">
        <f aca="false">IF(OR(C10="",D10=""),"",ROUND(24*(MAX(0,MIN((C10+MOD(D10-C10,1)),$L$6)-C10)+MAX(0,MIN((C10+MOD(D10-C10,1)),1+$L$6)-MAX(C10,$L$5))+MAX(0,(C10+MOD(D10-C10,1))-MAX(C10,1+$L$5))),2))</f>
        <v/>
      </c>
      <c r="H10" s="15"/>
      <c r="I10" s="15"/>
      <c r="J10" s="13"/>
      <c r="K10" s="13"/>
      <c r="L10" s="17"/>
      <c r="M10" s="18"/>
      <c r="N10" s="15"/>
      <c r="O10" s="17" t="s">
        <v>35</v>
      </c>
    </row>
    <row r="11" customFormat="false" ht="15" hidden="false" customHeight="false" outlineLevel="0" collapsed="false">
      <c r="A11" s="11" t="n">
        <f aca="false">IF(1&lt;DAY(EOMONTH($C$7,0)),DATE(YEAR($C$7),MONTH($C$7),1)+1,"")</f>
        <v>46328</v>
      </c>
      <c r="B11" s="12" t="str">
        <f aca="false">IF(A11="","",CHOOSE(WEEKDAY(A11),"nd","pon","wt","śr","czw","pt","sob"))</f>
        <v>pon</v>
      </c>
      <c r="C11" s="13" t="n">
        <v>0.291666666666667</v>
      </c>
      <c r="D11" s="13" t="n">
        <v>0.625</v>
      </c>
      <c r="E11" s="14" t="n">
        <f aca="false">IF(OR(C11="",D11=""),"",ROUND(MOD(D11-C11,1)*24-N(F11),2))</f>
        <v>8</v>
      </c>
      <c r="F11" s="15"/>
      <c r="G11" s="16" t="n">
        <f aca="false">IF(OR(C11="",D11=""),"",ROUND(24*(MAX(0,MIN((C11+MOD(D11-C11,1)),$L$6)-C11)+MAX(0,MIN((C11+MOD(D11-C11,1)),1+$L$6)-MAX(C11,$L$5))+MAX(0,(C11+MOD(D11-C11,1))-MAX(C11,1+$L$5))),2))</f>
        <v>0</v>
      </c>
      <c r="H11" s="15"/>
      <c r="I11" s="15"/>
      <c r="J11" s="13"/>
      <c r="K11" s="13"/>
      <c r="L11" s="17"/>
      <c r="M11" s="18"/>
      <c r="N11" s="15"/>
      <c r="O11" s="17" t="s">
        <v>36</v>
      </c>
    </row>
    <row r="12" customFormat="false" ht="15" hidden="false" customHeight="false" outlineLevel="0" collapsed="false">
      <c r="A12" s="11" t="n">
        <f aca="false">IF(2&lt;DAY(EOMONTH($C$7,0)),DATE(YEAR($C$7),MONTH($C$7),1)+2,"")</f>
        <v>46329</v>
      </c>
      <c r="B12" s="12" t="str">
        <f aca="false">IF(A12="","",CHOOSE(WEEKDAY(A12),"nd","pon","wt","śr","czw","pt","sob"))</f>
        <v>wt</v>
      </c>
      <c r="C12" s="13" t="n">
        <v>0.291666666666667</v>
      </c>
      <c r="D12" s="13" t="n">
        <v>0.708333333333333</v>
      </c>
      <c r="E12" s="14" t="n">
        <f aca="false">IF(OR(C12="",D12=""),"",ROUND(MOD(D12-C12,1)*24-N(F12),2))</f>
        <v>10</v>
      </c>
      <c r="F12" s="15"/>
      <c r="G12" s="16" t="n">
        <f aca="false">IF(OR(C12="",D12=""),"",ROUND(24*(MAX(0,MIN((C12+MOD(D12-C12,1)),$L$6)-C12)+MAX(0,MIN((C12+MOD(D12-C12,1)),1+$L$6)-MAX(C12,$L$5))+MAX(0,(C12+MOD(D12-C12,1))-MAX(C12,1+$L$5))),2))</f>
        <v>0</v>
      </c>
      <c r="H12" s="15" t="n">
        <v>2</v>
      </c>
      <c r="I12" s="15"/>
      <c r="J12" s="13"/>
      <c r="K12" s="13"/>
      <c r="L12" s="17"/>
      <c r="M12" s="18"/>
      <c r="N12" s="15"/>
      <c r="O12" s="17" t="s">
        <v>37</v>
      </c>
    </row>
    <row r="13" customFormat="false" ht="15" hidden="false" customHeight="false" outlineLevel="0" collapsed="false">
      <c r="A13" s="11" t="n">
        <f aca="false">IF(3&lt;DAY(EOMONTH($C$7,0)),DATE(YEAR($C$7),MONTH($C$7),1)+3,"")</f>
        <v>46330</v>
      </c>
      <c r="B13" s="12" t="str">
        <f aca="false">IF(A13="","",CHOOSE(WEEKDAY(A13),"nd","pon","wt","śr","czw","pt","sob"))</f>
        <v>śr</v>
      </c>
      <c r="C13" s="13" t="n">
        <v>0.625</v>
      </c>
      <c r="D13" s="13" t="n">
        <v>0</v>
      </c>
      <c r="E13" s="14" t="n">
        <f aca="false">IF(OR(C13="",D13=""),"",ROUND(MOD(D13-C13,1)*24-N(F13),2))</f>
        <v>9</v>
      </c>
      <c r="F13" s="15"/>
      <c r="G13" s="16" t="n">
        <f aca="false">IF(OR(C13="",D13=""),"",ROUND(24*(MAX(0,MIN((C13+MOD(D13-C13,1)),$L$6)-C13)+MAX(0,MIN((C13+MOD(D13-C13,1)),1+$L$6)-MAX(C13,$L$5))+MAX(0,(C13+MOD(D13-C13,1))-MAX(C13,1+$L$5))),2))</f>
        <v>2</v>
      </c>
      <c r="H13" s="15"/>
      <c r="I13" s="15" t="n">
        <v>1</v>
      </c>
      <c r="J13" s="13"/>
      <c r="K13" s="13"/>
      <c r="L13" s="17"/>
      <c r="M13" s="18"/>
      <c r="N13" s="15"/>
      <c r="O13" s="17" t="s">
        <v>38</v>
      </c>
    </row>
    <row r="14" customFormat="false" ht="15" hidden="false" customHeight="false" outlineLevel="0" collapsed="false">
      <c r="A14" s="11" t="n">
        <f aca="false">IF(4&lt;DAY(EOMONTH($C$7,0)),DATE(YEAR($C$7),MONTH($C$7),1)+4,"")</f>
        <v>46331</v>
      </c>
      <c r="B14" s="12" t="str">
        <f aca="false">IF(A14="","",CHOOSE(WEEKDAY(A14),"nd","pon","wt","śr","czw","pt","sob"))</f>
        <v>czw</v>
      </c>
      <c r="C14" s="13"/>
      <c r="D14" s="13"/>
      <c r="E14" s="14" t="str">
        <f aca="false">IF(OR(C14="",D14=""),"",ROUND(MOD(D14-C14,1)*24-N(F14),2))</f>
        <v/>
      </c>
      <c r="F14" s="15"/>
      <c r="G14" s="16" t="str">
        <f aca="false">IF(OR(C14="",D14=""),"",ROUND(24*(MAX(0,MIN((C14+MOD(D14-C14,1)),$L$6)-C14)+MAX(0,MIN((C14+MOD(D14-C14,1)),1+$L$6)-MAX(C14,$L$5))+MAX(0,(C14+MOD(D14-C14,1))-MAX(C14,1+$L$5))),2))</f>
        <v/>
      </c>
      <c r="H14" s="15"/>
      <c r="I14" s="15"/>
      <c r="J14" s="13"/>
      <c r="K14" s="13"/>
      <c r="L14" s="17"/>
      <c r="M14" s="18" t="s">
        <v>39</v>
      </c>
      <c r="N14" s="15" t="n">
        <v>8</v>
      </c>
      <c r="O14" s="17" t="s">
        <v>40</v>
      </c>
    </row>
    <row r="15" customFormat="false" ht="15" hidden="false" customHeight="false" outlineLevel="0" collapsed="false">
      <c r="A15" s="11" t="n">
        <f aca="false">IF(5&lt;DAY(EOMONTH($C$7,0)),DATE(YEAR($C$7),MONTH($C$7),1)+5,"")</f>
        <v>46332</v>
      </c>
      <c r="B15" s="12" t="str">
        <f aca="false">IF(A15="","",CHOOSE(WEEKDAY(A15),"nd","pon","wt","śr","czw","pt","sob"))</f>
        <v>pt</v>
      </c>
      <c r="C15" s="13" t="n">
        <v>0.291666666666667</v>
      </c>
      <c r="D15" s="13" t="n">
        <v>0.625</v>
      </c>
      <c r="E15" s="14" t="n">
        <f aca="false">IF(OR(C15="",D15=""),"",ROUND(MOD(D15-C15,1)*24-N(F15),2))</f>
        <v>8</v>
      </c>
      <c r="F15" s="15"/>
      <c r="G15" s="16" t="n">
        <f aca="false">IF(OR(C15="",D15=""),"",ROUND(24*(MAX(0,MIN((C15+MOD(D15-C15,1)),$L$6)-C15)+MAX(0,MIN((C15+MOD(D15-C15,1)),1+$L$6)-MAX(C15,$L$5))+MAX(0,(C15+MOD(D15-C15,1))-MAX(C15,1+$L$5))),2))</f>
        <v>0</v>
      </c>
      <c r="H15" s="15"/>
      <c r="I15" s="15"/>
      <c r="J15" s="13"/>
      <c r="K15" s="13"/>
      <c r="L15" s="17"/>
      <c r="M15" s="18"/>
      <c r="N15" s="15"/>
      <c r="O15" s="17"/>
    </row>
    <row r="16" customFormat="false" ht="15" hidden="false" customHeight="false" outlineLevel="0" collapsed="false">
      <c r="A16" s="11" t="n">
        <f aca="false">IF(6&lt;DAY(EOMONTH($C$7,0)),DATE(YEAR($C$7),MONTH($C$7),1)+6,"")</f>
        <v>46333</v>
      </c>
      <c r="B16" s="12" t="str">
        <f aca="false">IF(A16="","",CHOOSE(WEEKDAY(A16),"nd","pon","wt","śr","czw","pt","sob"))</f>
        <v>sob</v>
      </c>
      <c r="C16" s="13"/>
      <c r="D16" s="13"/>
      <c r="E16" s="14" t="str">
        <f aca="false">IF(OR(C16="",D16=""),"",ROUND(MOD(D16-C16,1)*24-N(F16),2))</f>
        <v/>
      </c>
      <c r="F16" s="15"/>
      <c r="G16" s="16" t="str">
        <f aca="false">IF(OR(C16="",D16=""),"",ROUND(24*(MAX(0,MIN((C16+MOD(D16-C16,1)),$L$6)-C16)+MAX(0,MIN((C16+MOD(D16-C16,1)),1+$L$6)-MAX(C16,$L$5))+MAX(0,(C16+MOD(D16-C16,1))-MAX(C16,1+$L$5))),2))</f>
        <v/>
      </c>
      <c r="H16" s="15"/>
      <c r="I16" s="15"/>
      <c r="J16" s="13"/>
      <c r="K16" s="13"/>
      <c r="L16" s="17"/>
      <c r="M16" s="18" t="s">
        <v>41</v>
      </c>
      <c r="N16" s="15"/>
      <c r="O16" s="17"/>
    </row>
    <row r="17" customFormat="false" ht="15" hidden="false" customHeight="false" outlineLevel="0" collapsed="false">
      <c r="A17" s="11" t="n">
        <f aca="false">IF(7&lt;DAY(EOMONTH($C$7,0)),DATE(YEAR($C$7),MONTH($C$7),1)+7,"")</f>
        <v>46334</v>
      </c>
      <c r="B17" s="12" t="str">
        <f aca="false">IF(A17="","",CHOOSE(WEEKDAY(A17),"nd","pon","wt","śr","czw","pt","sob"))</f>
        <v>nd</v>
      </c>
      <c r="C17" s="13"/>
      <c r="D17" s="13"/>
      <c r="E17" s="14" t="str">
        <f aca="false">IF(OR(C17="",D17=""),"",ROUND(MOD(D17-C17,1)*24-N(F17),2))</f>
        <v/>
      </c>
      <c r="F17" s="15"/>
      <c r="G17" s="16" t="str">
        <f aca="false">IF(OR(C17="",D17=""),"",ROUND(24*(MAX(0,MIN((C17+MOD(D17-C17,1)),$L$6)-C17)+MAX(0,MIN((C17+MOD(D17-C17,1)),1+$L$6)-MAX(C17,$L$5))+MAX(0,(C17+MOD(D17-C17,1))-MAX(C17,1+$L$5))),2))</f>
        <v/>
      </c>
      <c r="H17" s="15"/>
      <c r="I17" s="15"/>
      <c r="J17" s="13"/>
      <c r="K17" s="13"/>
      <c r="L17" s="17"/>
      <c r="M17" s="18"/>
      <c r="N17" s="15"/>
      <c r="O17" s="17" t="s">
        <v>42</v>
      </c>
    </row>
    <row r="18" customFormat="false" ht="15" hidden="false" customHeight="false" outlineLevel="0" collapsed="false">
      <c r="A18" s="11" t="n">
        <f aca="false">IF(8&lt;DAY(EOMONTH($C$7,0)),DATE(YEAR($C$7),MONTH($C$7),1)+8,"")</f>
        <v>46335</v>
      </c>
      <c r="B18" s="12" t="str">
        <f aca="false">IF(A18="","",CHOOSE(WEEKDAY(A18),"nd","pon","wt","śr","czw","pt","sob"))</f>
        <v>pon</v>
      </c>
      <c r="C18" s="13" t="n">
        <v>0.291666666666667</v>
      </c>
      <c r="D18" s="13" t="n">
        <v>0.625</v>
      </c>
      <c r="E18" s="14" t="n">
        <f aca="false">IF(OR(C18="",D18=""),"",ROUND(MOD(D18-C18,1)*24-N(F18),2))</f>
        <v>8</v>
      </c>
      <c r="F18" s="15"/>
      <c r="G18" s="16" t="n">
        <f aca="false">IF(OR(C18="",D18=""),"",ROUND(24*(MAX(0,MIN((C18+MOD(D18-C18,1)),$L$6)-C18)+MAX(0,MIN((C18+MOD(D18-C18,1)),1+$L$6)-MAX(C18,$L$5))+MAX(0,(C18+MOD(D18-C18,1))-MAX(C18,1+$L$5))),2))</f>
        <v>0</v>
      </c>
      <c r="H18" s="15"/>
      <c r="I18" s="15"/>
      <c r="J18" s="13"/>
      <c r="K18" s="13"/>
      <c r="L18" s="17"/>
      <c r="M18" s="18"/>
      <c r="N18" s="15"/>
      <c r="O18" s="17"/>
    </row>
    <row r="19" customFormat="false" ht="15" hidden="false" customHeight="false" outlineLevel="0" collapsed="false">
      <c r="A19" s="11" t="n">
        <f aca="false">IF(9&lt;DAY(EOMONTH($C$7,0)),DATE(YEAR($C$7),MONTH($C$7),1)+9,"")</f>
        <v>46336</v>
      </c>
      <c r="B19" s="12" t="str">
        <f aca="false">IF(A19="","",CHOOSE(WEEKDAY(A19),"nd","pon","wt","śr","czw","pt","sob"))</f>
        <v>wt</v>
      </c>
      <c r="C19" s="13" t="n">
        <v>0.291666666666667</v>
      </c>
      <c r="D19" s="13" t="n">
        <v>0.625</v>
      </c>
      <c r="E19" s="14" t="n">
        <f aca="false">IF(OR(C19="",D19=""),"",ROUND(MOD(D19-C19,1)*24-N(F19),2))</f>
        <v>8</v>
      </c>
      <c r="F19" s="15"/>
      <c r="G19" s="16" t="n">
        <f aca="false">IF(OR(C19="",D19=""),"",ROUND(24*(MAX(0,MIN((C19+MOD(D19-C19,1)),$L$6)-C19)+MAX(0,MIN((C19+MOD(D19-C19,1)),1+$L$6)-MAX(C19,$L$5))+MAX(0,(C19+MOD(D19-C19,1))-MAX(C19,1+$L$5))),2))</f>
        <v>0</v>
      </c>
      <c r="H19" s="15"/>
      <c r="I19" s="15"/>
      <c r="J19" s="13"/>
      <c r="K19" s="13"/>
      <c r="L19" s="17"/>
      <c r="M19" s="18"/>
      <c r="N19" s="15"/>
      <c r="O19" s="17"/>
    </row>
    <row r="20" customFormat="false" ht="15" hidden="false" customHeight="false" outlineLevel="0" collapsed="false">
      <c r="A20" s="11" t="n">
        <f aca="false">IF(10&lt;DAY(EOMONTH($C$7,0)),DATE(YEAR($C$7),MONTH($C$7),1)+10,"")</f>
        <v>46337</v>
      </c>
      <c r="B20" s="12" t="str">
        <f aca="false">IF(A20="","",CHOOSE(WEEKDAY(A20),"nd","pon","wt","śr","czw","pt","sob"))</f>
        <v>śr</v>
      </c>
      <c r="C20" s="13"/>
      <c r="D20" s="13"/>
      <c r="E20" s="14" t="str">
        <f aca="false">IF(OR(C20="",D20=""),"",ROUND(MOD(D20-C20,1)*24-N(F20),2))</f>
        <v/>
      </c>
      <c r="F20" s="15"/>
      <c r="G20" s="16" t="str">
        <f aca="false">IF(OR(C20="",D20=""),"",ROUND(24*(MAX(0,MIN((C20+MOD(D20-C20,1)),$L$6)-C20)+MAX(0,MIN((C20+MOD(D20-C20,1)),1+$L$6)-MAX(C20,$L$5))+MAX(0,(C20+MOD(D20-C20,1))-MAX(C20,1+$L$5))),2))</f>
        <v/>
      </c>
      <c r="H20" s="15"/>
      <c r="I20" s="15"/>
      <c r="J20" s="13"/>
      <c r="K20" s="13"/>
      <c r="L20" s="17"/>
      <c r="M20" s="18"/>
      <c r="N20" s="15"/>
      <c r="O20" s="17" t="s">
        <v>43</v>
      </c>
    </row>
    <row r="21" customFormat="false" ht="15" hidden="false" customHeight="false" outlineLevel="0" collapsed="false">
      <c r="A21" s="11" t="n">
        <f aca="false">IF(11&lt;DAY(EOMONTH($C$7,0)),DATE(YEAR($C$7),MONTH($C$7),1)+11,"")</f>
        <v>46338</v>
      </c>
      <c r="B21" s="12" t="str">
        <f aca="false">IF(A21="","",CHOOSE(WEEKDAY(A21),"nd","pon","wt","śr","czw","pt","sob"))</f>
        <v>czw</v>
      </c>
      <c r="C21" s="13" t="n">
        <v>0.291666666666667</v>
      </c>
      <c r="D21" s="13" t="n">
        <v>0.625</v>
      </c>
      <c r="E21" s="14" t="n">
        <f aca="false">IF(OR(C21="",D21=""),"",ROUND(MOD(D21-C21,1)*24-N(F21),2))</f>
        <v>8</v>
      </c>
      <c r="F21" s="15"/>
      <c r="G21" s="16" t="n">
        <f aca="false">IF(OR(C21="",D21=""),"",ROUND(24*(MAX(0,MIN((C21+MOD(D21-C21,1)),$L$6)-C21)+MAX(0,MIN((C21+MOD(D21-C21,1)),1+$L$6)-MAX(C21,$L$5))+MAX(0,(C21+MOD(D21-C21,1))-MAX(C21,1+$L$5))),2))</f>
        <v>0</v>
      </c>
      <c r="H21" s="15"/>
      <c r="I21" s="15"/>
      <c r="J21" s="13"/>
      <c r="K21" s="13"/>
      <c r="L21" s="17"/>
      <c r="M21" s="18"/>
      <c r="N21" s="15"/>
      <c r="O21" s="17"/>
    </row>
    <row r="22" customFormat="false" ht="15" hidden="false" customHeight="false" outlineLevel="0" collapsed="false">
      <c r="A22" s="11" t="n">
        <f aca="false">IF(12&lt;DAY(EOMONTH($C$7,0)),DATE(YEAR($C$7),MONTH($C$7),1)+12,"")</f>
        <v>46339</v>
      </c>
      <c r="B22" s="12" t="str">
        <f aca="false">IF(A22="","",CHOOSE(WEEKDAY(A22),"nd","pon","wt","śr","czw","pt","sob"))</f>
        <v>pt</v>
      </c>
      <c r="C22" s="13" t="n">
        <v>0.291666666666667</v>
      </c>
      <c r="D22" s="13" t="n">
        <v>0.625</v>
      </c>
      <c r="E22" s="14" t="n">
        <f aca="false">IF(OR(C22="",D22=""),"",ROUND(MOD(D22-C22,1)*24-N(F22),2))</f>
        <v>8</v>
      </c>
      <c r="F22" s="15"/>
      <c r="G22" s="16" t="n">
        <f aca="false">IF(OR(C22="",D22=""),"",ROUND(24*(MAX(0,MIN((C22+MOD(D22-C22,1)),$L$6)-C22)+MAX(0,MIN((C22+MOD(D22-C22,1)),1+$L$6)-MAX(C22,$L$5))+MAX(0,(C22+MOD(D22-C22,1))-MAX(C22,1+$L$5))),2))</f>
        <v>0</v>
      </c>
      <c r="H22" s="15"/>
      <c r="I22" s="15"/>
      <c r="J22" s="13"/>
      <c r="K22" s="13"/>
      <c r="L22" s="17"/>
      <c r="M22" s="18"/>
      <c r="N22" s="15"/>
      <c r="O22" s="17"/>
    </row>
    <row r="23" customFormat="false" ht="15" hidden="false" customHeight="false" outlineLevel="0" collapsed="false">
      <c r="A23" s="11" t="n">
        <f aca="false">IF(13&lt;DAY(EOMONTH($C$7,0)),DATE(YEAR($C$7),MONTH($C$7),1)+13,"")</f>
        <v>46340</v>
      </c>
      <c r="B23" s="12" t="str">
        <f aca="false">IF(A23="","",CHOOSE(WEEKDAY(A23),"nd","pon","wt","śr","czw","pt","sob"))</f>
        <v>sob</v>
      </c>
      <c r="C23" s="13"/>
      <c r="D23" s="13"/>
      <c r="E23" s="14" t="str">
        <f aca="false">IF(OR(C23="",D23=""),"",ROUND(MOD(D23-C23,1)*24-N(F23),2))</f>
        <v/>
      </c>
      <c r="F23" s="15"/>
      <c r="G23" s="16" t="str">
        <f aca="false">IF(OR(C23="",D23=""),"",ROUND(24*(MAX(0,MIN((C23+MOD(D23-C23,1)),$L$6)-C23)+MAX(0,MIN((C23+MOD(D23-C23,1)),1+$L$6)-MAX(C23,$L$5))+MAX(0,(C23+MOD(D23-C23,1))-MAX(C23,1+$L$5))),2))</f>
        <v/>
      </c>
      <c r="H23" s="15"/>
      <c r="I23" s="15"/>
      <c r="J23" s="13"/>
      <c r="K23" s="13"/>
      <c r="L23" s="17"/>
      <c r="M23" s="18" t="s">
        <v>41</v>
      </c>
      <c r="N23" s="15"/>
      <c r="O23" s="17"/>
    </row>
    <row r="24" customFormat="false" ht="15" hidden="false" customHeight="false" outlineLevel="0" collapsed="false">
      <c r="A24" s="11" t="n">
        <f aca="false">IF(14&lt;DAY(EOMONTH($C$7,0)),DATE(YEAR($C$7),MONTH($C$7),1)+14,"")</f>
        <v>46341</v>
      </c>
      <c r="B24" s="12" t="str">
        <f aca="false">IF(A24="","",CHOOSE(WEEKDAY(A24),"nd","pon","wt","śr","czw","pt","sob"))</f>
        <v>nd</v>
      </c>
      <c r="C24" s="13"/>
      <c r="D24" s="13"/>
      <c r="E24" s="14" t="str">
        <f aca="false">IF(OR(C24="",D24=""),"",ROUND(MOD(D24-C24,1)*24-N(F24),2))</f>
        <v/>
      </c>
      <c r="F24" s="15"/>
      <c r="G24" s="16" t="str">
        <f aca="false">IF(OR(C24="",D24=""),"",ROUND(24*(MAX(0,MIN((C24+MOD(D24-C24,1)),$L$6)-C24)+MAX(0,MIN((C24+MOD(D24-C24,1)),1+$L$6)-MAX(C24,$L$5))+MAX(0,(C24+MOD(D24-C24,1))-MAX(C24,1+$L$5))),2))</f>
        <v/>
      </c>
      <c r="H24" s="15"/>
      <c r="I24" s="15"/>
      <c r="J24" s="13"/>
      <c r="K24" s="13"/>
      <c r="L24" s="17"/>
      <c r="M24" s="18"/>
      <c r="N24" s="15"/>
      <c r="O24" s="17" t="s">
        <v>42</v>
      </c>
    </row>
    <row r="25" customFormat="false" ht="15" hidden="false" customHeight="false" outlineLevel="0" collapsed="false">
      <c r="A25" s="11" t="n">
        <f aca="false">IF(15&lt;DAY(EOMONTH($C$7,0)),DATE(YEAR($C$7),MONTH($C$7),1)+15,"")</f>
        <v>46342</v>
      </c>
      <c r="B25" s="12" t="str">
        <f aca="false">IF(A25="","",CHOOSE(WEEKDAY(A25),"nd","pon","wt","śr","czw","pt","sob"))</f>
        <v>pon</v>
      </c>
      <c r="C25" s="13" t="n">
        <v>0.625</v>
      </c>
      <c r="D25" s="13" t="n">
        <v>0.958333333333333</v>
      </c>
      <c r="E25" s="14" t="n">
        <f aca="false">IF(OR(C25="",D25=""),"",ROUND(MOD(D25-C25,1)*24-N(F25),2))</f>
        <v>8</v>
      </c>
      <c r="F25" s="15"/>
      <c r="G25" s="16" t="n">
        <f aca="false">IF(OR(C25="",D25=""),"",ROUND(24*(MAX(0,MIN((C25+MOD(D25-C25,1)),$L$6)-C25)+MAX(0,MIN((C25+MOD(D25-C25,1)),1+$L$6)-MAX(C25,$L$5))+MAX(0,(C25+MOD(D25-C25,1))-MAX(C25,1+$L$5))),2))</f>
        <v>1</v>
      </c>
      <c r="H25" s="15"/>
      <c r="I25" s="15"/>
      <c r="J25" s="13"/>
      <c r="K25" s="13"/>
      <c r="L25" s="17"/>
      <c r="M25" s="18"/>
      <c r="N25" s="15"/>
      <c r="O25" s="17" t="s">
        <v>44</v>
      </c>
    </row>
    <row r="26" customFormat="false" ht="15" hidden="false" customHeight="false" outlineLevel="0" collapsed="false">
      <c r="A26" s="11" t="n">
        <f aca="false">IF(16&lt;DAY(EOMONTH($C$7,0)),DATE(YEAR($C$7),MONTH($C$7),1)+16,"")</f>
        <v>46343</v>
      </c>
      <c r="B26" s="12" t="str">
        <f aca="false">IF(A26="","",CHOOSE(WEEKDAY(A26),"nd","pon","wt","śr","czw","pt","sob"))</f>
        <v>wt</v>
      </c>
      <c r="C26" s="13" t="n">
        <v>0.625</v>
      </c>
      <c r="D26" s="13" t="n">
        <v>0.958333333333333</v>
      </c>
      <c r="E26" s="14" t="n">
        <f aca="false">IF(OR(C26="",D26=""),"",ROUND(MOD(D26-C26,1)*24-N(F26),2))</f>
        <v>8</v>
      </c>
      <c r="F26" s="15"/>
      <c r="G26" s="16" t="n">
        <f aca="false">IF(OR(C26="",D26=""),"",ROUND(24*(MAX(0,MIN((C26+MOD(D26-C26,1)),$L$6)-C26)+MAX(0,MIN((C26+MOD(D26-C26,1)),1+$L$6)-MAX(C26,$L$5))+MAX(0,(C26+MOD(D26-C26,1))-MAX(C26,1+$L$5))),2))</f>
        <v>1</v>
      </c>
      <c r="H26" s="15"/>
      <c r="I26" s="15"/>
      <c r="J26" s="13"/>
      <c r="K26" s="13"/>
      <c r="L26" s="17"/>
      <c r="M26" s="18"/>
      <c r="N26" s="15"/>
      <c r="O26" s="17"/>
    </row>
    <row r="27" customFormat="false" ht="15" hidden="false" customHeight="false" outlineLevel="0" collapsed="false">
      <c r="A27" s="11" t="n">
        <f aca="false">IF(17&lt;DAY(EOMONTH($C$7,0)),DATE(YEAR($C$7),MONTH($C$7),1)+17,"")</f>
        <v>46344</v>
      </c>
      <c r="B27" s="12" t="str">
        <f aca="false">IF(A27="","",CHOOSE(WEEKDAY(A27),"nd","pon","wt","śr","czw","pt","sob"))</f>
        <v>śr</v>
      </c>
      <c r="C27" s="13" t="n">
        <v>0.625</v>
      </c>
      <c r="D27" s="13" t="n">
        <v>0.958333333333333</v>
      </c>
      <c r="E27" s="14" t="n">
        <f aca="false">IF(OR(C27="",D27=""),"",ROUND(MOD(D27-C27,1)*24-N(F27),2))</f>
        <v>8</v>
      </c>
      <c r="F27" s="15"/>
      <c r="G27" s="16" t="n">
        <f aca="false">IF(OR(C27="",D27=""),"",ROUND(24*(MAX(0,MIN((C27+MOD(D27-C27,1)),$L$6)-C27)+MAX(0,MIN((C27+MOD(D27-C27,1)),1+$L$6)-MAX(C27,$L$5))+MAX(0,(C27+MOD(D27-C27,1))-MAX(C27,1+$L$5))),2))</f>
        <v>1</v>
      </c>
      <c r="H27" s="15"/>
      <c r="I27" s="15"/>
      <c r="J27" s="13"/>
      <c r="K27" s="13"/>
      <c r="L27" s="17"/>
      <c r="M27" s="18"/>
      <c r="N27" s="15"/>
      <c r="O27" s="17"/>
    </row>
    <row r="28" customFormat="false" ht="15" hidden="false" customHeight="false" outlineLevel="0" collapsed="false">
      <c r="A28" s="11" t="n">
        <f aca="false">IF(18&lt;DAY(EOMONTH($C$7,0)),DATE(YEAR($C$7),MONTH($C$7),1)+18,"")</f>
        <v>46345</v>
      </c>
      <c r="B28" s="12" t="str">
        <f aca="false">IF(A28="","",CHOOSE(WEEKDAY(A28),"nd","pon","wt","śr","czw","pt","sob"))</f>
        <v>czw</v>
      </c>
      <c r="C28" s="13" t="n">
        <v>0.625</v>
      </c>
      <c r="D28" s="13" t="n">
        <v>0.958333333333333</v>
      </c>
      <c r="E28" s="14" t="n">
        <f aca="false">IF(OR(C28="",D28=""),"",ROUND(MOD(D28-C28,1)*24-N(F28),2))</f>
        <v>8</v>
      </c>
      <c r="F28" s="15"/>
      <c r="G28" s="16" t="n">
        <f aca="false">IF(OR(C28="",D28=""),"",ROUND(24*(MAX(0,MIN((C28+MOD(D28-C28,1)),$L$6)-C28)+MAX(0,MIN((C28+MOD(D28-C28,1)),1+$L$6)-MAX(C28,$L$5))+MAX(0,(C28+MOD(D28-C28,1))-MAX(C28,1+$L$5))),2))</f>
        <v>1</v>
      </c>
      <c r="H28" s="15"/>
      <c r="I28" s="15"/>
      <c r="J28" s="13"/>
      <c r="K28" s="13"/>
      <c r="L28" s="17"/>
      <c r="M28" s="18"/>
      <c r="N28" s="15"/>
      <c r="O28" s="17"/>
    </row>
    <row r="29" customFormat="false" ht="15" hidden="false" customHeight="false" outlineLevel="0" collapsed="false">
      <c r="A29" s="11" t="n">
        <f aca="false">IF(19&lt;DAY(EOMONTH($C$7,0)),DATE(YEAR($C$7),MONTH($C$7),1)+19,"")</f>
        <v>46346</v>
      </c>
      <c r="B29" s="12" t="str">
        <f aca="false">IF(A29="","",CHOOSE(WEEKDAY(A29),"nd","pon","wt","śr","czw","pt","sob"))</f>
        <v>pt</v>
      </c>
      <c r="C29" s="13" t="n">
        <v>0.625</v>
      </c>
      <c r="D29" s="13" t="n">
        <v>0.958333333333333</v>
      </c>
      <c r="E29" s="14" t="n">
        <f aca="false">IF(OR(C29="",D29=""),"",ROUND(MOD(D29-C29,1)*24-N(F29),2))</f>
        <v>8</v>
      </c>
      <c r="F29" s="15"/>
      <c r="G29" s="16" t="n">
        <f aca="false">IF(OR(C29="",D29=""),"",ROUND(24*(MAX(0,MIN((C29+MOD(D29-C29,1)),$L$6)-C29)+MAX(0,MIN((C29+MOD(D29-C29,1)),1+$L$6)-MAX(C29,$L$5))+MAX(0,(C29+MOD(D29-C29,1))-MAX(C29,1+$L$5))),2))</f>
        <v>1</v>
      </c>
      <c r="H29" s="15"/>
      <c r="I29" s="15"/>
      <c r="J29" s="13"/>
      <c r="K29" s="13"/>
      <c r="L29" s="17"/>
      <c r="M29" s="18"/>
      <c r="N29" s="15"/>
      <c r="O29" s="17"/>
    </row>
    <row r="30" customFormat="false" ht="15" hidden="false" customHeight="false" outlineLevel="0" collapsed="false">
      <c r="A30" s="11" t="n">
        <f aca="false">IF(20&lt;DAY(EOMONTH($C$7,0)),DATE(YEAR($C$7),MONTH($C$7),1)+20,"")</f>
        <v>46347</v>
      </c>
      <c r="B30" s="12" t="str">
        <f aca="false">IF(A30="","",CHOOSE(WEEKDAY(A30),"nd","pon","wt","śr","czw","pt","sob"))</f>
        <v>sob</v>
      </c>
      <c r="C30" s="13"/>
      <c r="D30" s="13"/>
      <c r="E30" s="14" t="str">
        <f aca="false">IF(OR(C30="",D30=""),"",ROUND(MOD(D30-C30,1)*24-N(F30),2))</f>
        <v/>
      </c>
      <c r="F30" s="15"/>
      <c r="G30" s="16" t="str">
        <f aca="false">IF(OR(C30="",D30=""),"",ROUND(24*(MAX(0,MIN((C30+MOD(D30-C30,1)),$L$6)-C30)+MAX(0,MIN((C30+MOD(D30-C30,1)),1+$L$6)-MAX(C30,$L$5))+MAX(0,(C30+MOD(D30-C30,1))-MAX(C30,1+$L$5))),2))</f>
        <v/>
      </c>
      <c r="H30" s="15"/>
      <c r="I30" s="15"/>
      <c r="J30" s="13"/>
      <c r="K30" s="13"/>
      <c r="L30" s="17"/>
      <c r="M30" s="18" t="s">
        <v>41</v>
      </c>
      <c r="N30" s="15"/>
      <c r="O30" s="17"/>
    </row>
    <row r="31" customFormat="false" ht="15" hidden="false" customHeight="false" outlineLevel="0" collapsed="false">
      <c r="A31" s="11" t="n">
        <f aca="false">IF(21&lt;DAY(EOMONTH($C$7,0)),DATE(YEAR($C$7),MONTH($C$7),1)+21,"")</f>
        <v>46348</v>
      </c>
      <c r="B31" s="12" t="str">
        <f aca="false">IF(A31="","",CHOOSE(WEEKDAY(A31),"nd","pon","wt","śr","czw","pt","sob"))</f>
        <v>nd</v>
      </c>
      <c r="C31" s="13"/>
      <c r="D31" s="13"/>
      <c r="E31" s="14" t="str">
        <f aca="false">IF(OR(C31="",D31=""),"",ROUND(MOD(D31-C31,1)*24-N(F31),2))</f>
        <v/>
      </c>
      <c r="F31" s="15"/>
      <c r="G31" s="16" t="str">
        <f aca="false">IF(OR(C31="",D31=""),"",ROUND(24*(MAX(0,MIN((C31+MOD(D31-C31,1)),$L$6)-C31)+MAX(0,MIN((C31+MOD(D31-C31,1)),1+$L$6)-MAX(C31,$L$5))+MAX(0,(C31+MOD(D31-C31,1))-MAX(C31,1+$L$5))),2))</f>
        <v/>
      </c>
      <c r="H31" s="15"/>
      <c r="I31" s="15"/>
      <c r="J31" s="13"/>
      <c r="K31" s="13"/>
      <c r="L31" s="17"/>
      <c r="M31" s="18"/>
      <c r="N31" s="15"/>
      <c r="O31" s="17" t="s">
        <v>42</v>
      </c>
    </row>
    <row r="32" customFormat="false" ht="15" hidden="false" customHeight="false" outlineLevel="0" collapsed="false">
      <c r="A32" s="11" t="n">
        <f aca="false">IF(22&lt;DAY(EOMONTH($C$7,0)),DATE(YEAR($C$7),MONTH($C$7),1)+22,"")</f>
        <v>46349</v>
      </c>
      <c r="B32" s="12" t="str">
        <f aca="false">IF(A32="","",CHOOSE(WEEKDAY(A32),"nd","pon","wt","śr","czw","pt","sob"))</f>
        <v>pon</v>
      </c>
      <c r="C32" s="13" t="n">
        <v>0.291666666666667</v>
      </c>
      <c r="D32" s="13" t="n">
        <v>0.625</v>
      </c>
      <c r="E32" s="14" t="n">
        <f aca="false">IF(OR(C32="",D32=""),"",ROUND(MOD(D32-C32,1)*24-N(F32),2))</f>
        <v>8</v>
      </c>
      <c r="F32" s="15"/>
      <c r="G32" s="16" t="n">
        <f aca="false">IF(OR(C32="",D32=""),"",ROUND(24*(MAX(0,MIN((C32+MOD(D32-C32,1)),$L$6)-C32)+MAX(0,MIN((C32+MOD(D32-C32,1)),1+$L$6)-MAX(C32,$L$5))+MAX(0,(C32+MOD(D32-C32,1))-MAX(C32,1+$L$5))),2))</f>
        <v>0</v>
      </c>
      <c r="H32" s="15"/>
      <c r="I32" s="15"/>
      <c r="J32" s="13"/>
      <c r="K32" s="13"/>
      <c r="L32" s="17"/>
      <c r="M32" s="18"/>
      <c r="N32" s="15"/>
      <c r="O32" s="17"/>
    </row>
    <row r="33" customFormat="false" ht="15" hidden="false" customHeight="false" outlineLevel="0" collapsed="false">
      <c r="A33" s="11" t="n">
        <f aca="false">IF(23&lt;DAY(EOMONTH($C$7,0)),DATE(YEAR($C$7),MONTH($C$7),1)+23,"")</f>
        <v>46350</v>
      </c>
      <c r="B33" s="12" t="str">
        <f aca="false">IF(A33="","",CHOOSE(WEEKDAY(A33),"nd","pon","wt","śr","czw","pt","sob"))</f>
        <v>wt</v>
      </c>
      <c r="C33" s="13" t="n">
        <v>0.291666666666667</v>
      </c>
      <c r="D33" s="13" t="n">
        <v>0.625</v>
      </c>
      <c r="E33" s="14" t="n">
        <f aca="false">IF(OR(C33="",D33=""),"",ROUND(MOD(D33-C33,1)*24-N(F33),2))</f>
        <v>8</v>
      </c>
      <c r="F33" s="15"/>
      <c r="G33" s="16" t="n">
        <f aca="false">IF(OR(C33="",D33=""),"",ROUND(24*(MAX(0,MIN((C33+MOD(D33-C33,1)),$L$6)-C33)+MAX(0,MIN((C33+MOD(D33-C33,1)),1+$L$6)-MAX(C33,$L$5))+MAX(0,(C33+MOD(D33-C33,1))-MAX(C33,1+$L$5))),2))</f>
        <v>0</v>
      </c>
      <c r="H33" s="15"/>
      <c r="I33" s="15"/>
      <c r="J33" s="13"/>
      <c r="K33" s="13"/>
      <c r="L33" s="17"/>
      <c r="M33" s="18"/>
      <c r="N33" s="15"/>
      <c r="O33" s="17"/>
    </row>
    <row r="34" customFormat="false" ht="15" hidden="false" customHeight="false" outlineLevel="0" collapsed="false">
      <c r="A34" s="11" t="n">
        <f aca="false">IF(24&lt;DAY(EOMONTH($C$7,0)),DATE(YEAR($C$7),MONTH($C$7),1)+24,"")</f>
        <v>46351</v>
      </c>
      <c r="B34" s="12" t="str">
        <f aca="false">IF(A34="","",CHOOSE(WEEKDAY(A34),"nd","pon","wt","śr","czw","pt","sob"))</f>
        <v>śr</v>
      </c>
      <c r="C34" s="13" t="n">
        <v>0.291666666666667</v>
      </c>
      <c r="D34" s="13" t="n">
        <v>0.625</v>
      </c>
      <c r="E34" s="14" t="n">
        <f aca="false">IF(OR(C34="",D34=""),"",ROUND(MOD(D34-C34,1)*24-N(F34),2))</f>
        <v>8</v>
      </c>
      <c r="F34" s="15"/>
      <c r="G34" s="16" t="n">
        <f aca="false">IF(OR(C34="",D34=""),"",ROUND(24*(MAX(0,MIN((C34+MOD(D34-C34,1)),$L$6)-C34)+MAX(0,MIN((C34+MOD(D34-C34,1)),1+$L$6)-MAX(C34,$L$5))+MAX(0,(C34+MOD(D34-C34,1))-MAX(C34,1+$L$5))),2))</f>
        <v>0</v>
      </c>
      <c r="H34" s="15"/>
      <c r="I34" s="15"/>
      <c r="J34" s="13"/>
      <c r="K34" s="13"/>
      <c r="L34" s="17"/>
      <c r="M34" s="18"/>
      <c r="N34" s="15"/>
      <c r="O34" s="17"/>
    </row>
    <row r="35" customFormat="false" ht="15" hidden="false" customHeight="false" outlineLevel="0" collapsed="false">
      <c r="A35" s="11" t="n">
        <f aca="false">IF(25&lt;DAY(EOMONTH($C$7,0)),DATE(YEAR($C$7),MONTH($C$7),1)+25,"")</f>
        <v>46352</v>
      </c>
      <c r="B35" s="12" t="str">
        <f aca="false">IF(A35="","",CHOOSE(WEEKDAY(A35),"nd","pon","wt","śr","czw","pt","sob"))</f>
        <v>czw</v>
      </c>
      <c r="C35" s="13" t="n">
        <v>0.291666666666667</v>
      </c>
      <c r="D35" s="13" t="n">
        <v>0.625</v>
      </c>
      <c r="E35" s="14" t="n">
        <f aca="false">IF(OR(C35="",D35=""),"",ROUND(MOD(D35-C35,1)*24-N(F35),2))</f>
        <v>8</v>
      </c>
      <c r="F35" s="15"/>
      <c r="G35" s="16" t="n">
        <f aca="false">IF(OR(C35="",D35=""),"",ROUND(24*(MAX(0,MIN((C35+MOD(D35-C35,1)),$L$6)-C35)+MAX(0,MIN((C35+MOD(D35-C35,1)),1+$L$6)-MAX(C35,$L$5))+MAX(0,(C35+MOD(D35-C35,1))-MAX(C35,1+$L$5))),2))</f>
        <v>0</v>
      </c>
      <c r="H35" s="15"/>
      <c r="I35" s="15"/>
      <c r="J35" s="13"/>
      <c r="K35" s="13"/>
      <c r="L35" s="17"/>
      <c r="M35" s="18"/>
      <c r="N35" s="15"/>
      <c r="O35" s="17"/>
    </row>
    <row r="36" customFormat="false" ht="15" hidden="false" customHeight="false" outlineLevel="0" collapsed="false">
      <c r="A36" s="11" t="n">
        <f aca="false">IF(26&lt;DAY(EOMONTH($C$7,0)),DATE(YEAR($C$7),MONTH($C$7),1)+26,"")</f>
        <v>46353</v>
      </c>
      <c r="B36" s="12" t="str">
        <f aca="false">IF(A36="","",CHOOSE(WEEKDAY(A36),"nd","pon","wt","śr","czw","pt","sob"))</f>
        <v>pt</v>
      </c>
      <c r="C36" s="13" t="n">
        <v>0.291666666666667</v>
      </c>
      <c r="D36" s="13" t="n">
        <v>0.625</v>
      </c>
      <c r="E36" s="14" t="n">
        <f aca="false">IF(OR(C36="",D36=""),"",ROUND(MOD(D36-C36,1)*24-N(F36),2))</f>
        <v>8</v>
      </c>
      <c r="F36" s="15"/>
      <c r="G36" s="16" t="n">
        <f aca="false">IF(OR(C36="",D36=""),"",ROUND(24*(MAX(0,MIN((C36+MOD(D36-C36,1)),$L$6)-C36)+MAX(0,MIN((C36+MOD(D36-C36,1)),1+$L$6)-MAX(C36,$L$5))+MAX(0,(C36+MOD(D36-C36,1))-MAX(C36,1+$L$5))),2))</f>
        <v>0</v>
      </c>
      <c r="H36" s="15"/>
      <c r="I36" s="15"/>
      <c r="J36" s="13"/>
      <c r="K36" s="13"/>
      <c r="L36" s="17"/>
      <c r="M36" s="18"/>
      <c r="N36" s="15"/>
      <c r="O36" s="17"/>
    </row>
    <row r="37" customFormat="false" ht="15" hidden="false" customHeight="false" outlineLevel="0" collapsed="false">
      <c r="A37" s="11" t="n">
        <f aca="false">IF(27&lt;DAY(EOMONTH($C$7,0)),DATE(YEAR($C$7),MONTH($C$7),1)+27,"")</f>
        <v>46354</v>
      </c>
      <c r="B37" s="12" t="str">
        <f aca="false">IF(A37="","",CHOOSE(WEEKDAY(A37),"nd","pon","wt","śr","czw","pt","sob"))</f>
        <v>sob</v>
      </c>
      <c r="C37" s="13"/>
      <c r="D37" s="13"/>
      <c r="E37" s="14" t="str">
        <f aca="false">IF(OR(C37="",D37=""),"",ROUND(MOD(D37-C37,1)*24-N(F37),2))</f>
        <v/>
      </c>
      <c r="F37" s="15"/>
      <c r="G37" s="16" t="str">
        <f aca="false">IF(OR(C37="",D37=""),"",ROUND(24*(MAX(0,MIN((C37+MOD(D37-C37,1)),$L$6)-C37)+MAX(0,MIN((C37+MOD(D37-C37,1)),1+$L$6)-MAX(C37,$L$5))+MAX(0,(C37+MOD(D37-C37,1))-MAX(C37,1+$L$5))),2))</f>
        <v/>
      </c>
      <c r="H37" s="15"/>
      <c r="I37" s="15"/>
      <c r="J37" s="13"/>
      <c r="K37" s="13"/>
      <c r="L37" s="17"/>
      <c r="M37" s="18" t="s">
        <v>41</v>
      </c>
      <c r="N37" s="15"/>
      <c r="O37" s="17"/>
    </row>
    <row r="38" customFormat="false" ht="15" hidden="false" customHeight="false" outlineLevel="0" collapsed="false">
      <c r="A38" s="11" t="n">
        <f aca="false">IF(28&lt;DAY(EOMONTH($C$7,0)),DATE(YEAR($C$7),MONTH($C$7),1)+28,"")</f>
        <v>46355</v>
      </c>
      <c r="B38" s="12" t="str">
        <f aca="false">IF(A38="","",CHOOSE(WEEKDAY(A38),"nd","pon","wt","śr","czw","pt","sob"))</f>
        <v>nd</v>
      </c>
      <c r="C38" s="13"/>
      <c r="D38" s="13"/>
      <c r="E38" s="14" t="str">
        <f aca="false">IF(OR(C38="",D38=""),"",ROUND(MOD(D38-C38,1)*24-N(F38),2))</f>
        <v/>
      </c>
      <c r="F38" s="15"/>
      <c r="G38" s="16" t="str">
        <f aca="false">IF(OR(C38="",D38=""),"",ROUND(24*(MAX(0,MIN((C38+MOD(D38-C38,1)),$L$6)-C38)+MAX(0,MIN((C38+MOD(D38-C38,1)),1+$L$6)-MAX(C38,$L$5))+MAX(0,(C38+MOD(D38-C38,1))-MAX(C38,1+$L$5))),2))</f>
        <v/>
      </c>
      <c r="H38" s="15"/>
      <c r="I38" s="15"/>
      <c r="J38" s="13"/>
      <c r="K38" s="13"/>
      <c r="L38" s="17"/>
      <c r="M38" s="18"/>
      <c r="N38" s="15"/>
      <c r="O38" s="17" t="s">
        <v>42</v>
      </c>
    </row>
    <row r="39" customFormat="false" ht="15" hidden="false" customHeight="false" outlineLevel="0" collapsed="false">
      <c r="A39" s="11" t="n">
        <f aca="false">IF(29&lt;DAY(EOMONTH($C$7,0)),DATE(YEAR($C$7),MONTH($C$7),1)+29,"")</f>
        <v>46356</v>
      </c>
      <c r="B39" s="12" t="str">
        <f aca="false">IF(A39="","",CHOOSE(WEEKDAY(A39),"nd","pon","wt","śr","czw","pt","sob"))</f>
        <v>pon</v>
      </c>
      <c r="C39" s="13" t="n">
        <v>0.291666666666667</v>
      </c>
      <c r="D39" s="13" t="n">
        <v>0.625</v>
      </c>
      <c r="E39" s="14" t="n">
        <f aca="false">IF(OR(C39="",D39=""),"",ROUND(MOD(D39-C39,1)*24-N(F39),2))</f>
        <v>8</v>
      </c>
      <c r="F39" s="15"/>
      <c r="G39" s="16" t="n">
        <f aca="false">IF(OR(C39="",D39=""),"",ROUND(24*(MAX(0,MIN((C39+MOD(D39-C39,1)),$L$6)-C39)+MAX(0,MIN((C39+MOD(D39-C39,1)),1+$L$6)-MAX(C39,$L$5))+MAX(0,(C39+MOD(D39-C39,1))-MAX(C39,1+$L$5))),2))</f>
        <v>0</v>
      </c>
      <c r="H39" s="15"/>
      <c r="I39" s="15"/>
      <c r="J39" s="13"/>
      <c r="K39" s="13"/>
      <c r="L39" s="17"/>
      <c r="M39" s="18"/>
      <c r="N39" s="15"/>
      <c r="O39" s="17"/>
    </row>
    <row r="40" customFormat="false" ht="15" hidden="false" customHeight="false" outlineLevel="0" collapsed="false">
      <c r="A40" s="11" t="str">
        <f aca="false">IF(30&lt;DAY(EOMONTH($C$7,0)),DATE(YEAR($C$7),MONTH($C$7),1)+30,"")</f>
        <v/>
      </c>
      <c r="B40" s="12" t="str">
        <f aca="false">IF(A40="","",CHOOSE(WEEKDAY(A40),"nd","pon","wt","śr","czw","pt","sob"))</f>
        <v/>
      </c>
      <c r="C40" s="13"/>
      <c r="D40" s="13"/>
      <c r="E40" s="14" t="str">
        <f aca="false">IF(OR(C40="",D40=""),"",ROUND(MOD(D40-C40,1)*24-N(F40),2))</f>
        <v/>
      </c>
      <c r="F40" s="15"/>
      <c r="G40" s="16" t="str">
        <f aca="false">IF(OR(C40="",D40=""),"",ROUND(24*(MAX(0,MIN((C40+MOD(D40-C40,1)),$L$6)-C40)+MAX(0,MIN((C40+MOD(D40-C40,1)),1+$L$6)-MAX(C40,$L$5))+MAX(0,(C40+MOD(D40-C40,1))-MAX(C40,1+$L$5))),2))</f>
        <v/>
      </c>
      <c r="H40" s="15"/>
      <c r="I40" s="15"/>
      <c r="J40" s="13"/>
      <c r="K40" s="13"/>
      <c r="L40" s="17"/>
      <c r="M40" s="18"/>
      <c r="N40" s="15"/>
      <c r="O40" s="17"/>
    </row>
    <row r="41" customFormat="false" ht="15" hidden="false" customHeight="false" outlineLevel="0" collapsed="false">
      <c r="A41" s="19" t="s">
        <v>45</v>
      </c>
      <c r="B41" s="19"/>
      <c r="C41" s="19"/>
      <c r="D41" s="19"/>
      <c r="E41" s="20" t="n">
        <f aca="false">SUM(E10:E40)</f>
        <v>155</v>
      </c>
      <c r="F41" s="20" t="n">
        <f aca="false">SUM(F10:F40)</f>
        <v>0</v>
      </c>
      <c r="G41" s="20" t="n">
        <f aca="false">SUM(G10:G40)</f>
        <v>7</v>
      </c>
      <c r="H41" s="20" t="n">
        <f aca="false">SUM(H10:H40)</f>
        <v>2</v>
      </c>
      <c r="I41" s="20" t="n">
        <f aca="false">SUM(I10:I40)</f>
        <v>1</v>
      </c>
      <c r="J41" s="21"/>
      <c r="K41" s="21"/>
      <c r="L41" s="21"/>
      <c r="M41" s="22" t="n">
        <f aca="false">COUNTIF(M10:M40,"?*")</f>
        <v>5</v>
      </c>
      <c r="N41" s="20" t="n">
        <f aca="false">SUM(N10:N40)</f>
        <v>8</v>
      </c>
      <c r="O41" s="21"/>
    </row>
    <row r="42" customFormat="false" ht="36" hidden="false" customHeight="true" outlineLevel="0" collapsed="false">
      <c r="A42" s="23" t="s">
        <v>46</v>
      </c>
      <c r="B42" s="23"/>
      <c r="C42" s="23"/>
      <c r="D42" s="23"/>
      <c r="E42" s="24" t="n">
        <f aca="false">MAX(0,E41-H41-I41+SUMIFS(N10:N40,M10:M40,"&lt;&gt;NN")-Wymiar!$B$12)</f>
        <v>0</v>
      </c>
      <c r="F42" s="25" t="s">
        <v>47</v>
      </c>
      <c r="G42" s="25"/>
      <c r="H42" s="25"/>
      <c r="I42" s="25"/>
      <c r="J42" s="25"/>
      <c r="K42" s="25"/>
      <c r="L42" s="25"/>
      <c r="M42" s="25"/>
      <c r="N42" s="25"/>
      <c r="O42" s="25"/>
    </row>
    <row r="44" customFormat="false" ht="15" hidden="false" customHeight="false" outlineLevel="0" collapsed="false">
      <c r="A44" s="6" t="s">
        <v>48</v>
      </c>
    </row>
    <row r="45" customFormat="false" ht="15" hidden="false" customHeight="false" outlineLevel="0" collapsed="false">
      <c r="A45" s="6" t="s">
        <v>49</v>
      </c>
    </row>
    <row r="46" customFormat="false" ht="15" hidden="false" customHeight="false" outlineLevel="0" collapsed="false">
      <c r="A46" s="6" t="s">
        <v>50</v>
      </c>
    </row>
    <row r="47" customFormat="false" ht="15" hidden="false" customHeight="false" outlineLevel="0" collapsed="false">
      <c r="A47" s="6" t="s">
        <v>51</v>
      </c>
    </row>
    <row r="48" customFormat="false" ht="15" hidden="false" customHeight="false" outlineLevel="0" collapsed="false">
      <c r="A48" s="6" t="s">
        <v>52</v>
      </c>
    </row>
    <row r="49" customFormat="false" ht="15" hidden="false" customHeight="false" outlineLevel="0" collapsed="false">
      <c r="A49" s="6" t="s">
        <v>53</v>
      </c>
    </row>
    <row r="50" customFormat="false" ht="15" hidden="false" customHeight="false" outlineLevel="0" collapsed="false">
      <c r="A50" s="6" t="s">
        <v>54</v>
      </c>
    </row>
    <row r="51" customFormat="false" ht="15" hidden="false" customHeight="false" outlineLevel="0" collapsed="false">
      <c r="A51" s="6" t="s">
        <v>55</v>
      </c>
    </row>
  </sheetData>
  <sheetProtection sheet="true"/>
  <mergeCells count="11">
    <mergeCell ref="C3:G3"/>
    <mergeCell ref="L3:N3"/>
    <mergeCell ref="C4:G4"/>
    <mergeCell ref="L4:N4"/>
    <mergeCell ref="C5:G5"/>
    <mergeCell ref="C6:G6"/>
    <mergeCell ref="C7:G7"/>
    <mergeCell ref="L7:N7"/>
    <mergeCell ref="A41:D41"/>
    <mergeCell ref="A42:D42"/>
    <mergeCell ref="F42:O42"/>
  </mergeCells>
  <conditionalFormatting sqref="A10:O40">
    <cfRule type="expression" priority="2" aboveAverage="0" equalAverage="0" bottom="0" percent="0" rank="0" text="" dxfId="0">
      <formula>OR($B10="sob",$B10="nd",COUNTIF(Wymiar!$E$5:$E$20,$A10)&gt;0)</formula>
    </cfRule>
  </conditionalFormatting>
  <conditionalFormatting sqref="F10:F40">
    <cfRule type="expression" priority="3" aboveAverage="0" equalAverage="0" bottom="0" percent="0" rank="0" text="" dxfId="1">
      <formula>AND(ISNUMBER(F10),F10&gt;5)</formula>
    </cfRule>
  </conditionalFormatting>
  <dataValidations count="4">
    <dataValidation allowBlank="true" error="Wybierz kod z listy (arkusz Kody)." errorStyle="stop" errorTitle="Kod" operator="between" showDropDown="false" showErrorMessage="true" showInputMessage="false" sqref="M10:M40" type="list">
      <formula1>"W,WN,WD,UW,UŻ,UO,UOP,SW,CH,OP,MD,UB,NN,N50,N100"</formula1>
      <formula2>0</formula2>
    </dataValidation>
    <dataValidation allowBlank="true" error="System przerywany: jedna przerwa, nie dłuższa niż 5 godzin (art. 139 § 1)." errorStyle="stop" errorTitle="Przerwa" operator="between" showDropDown="false" showErrorMessage="true" showInputMessage="false" sqref="F10:F40" type="decimal">
      <formula1>0</formula1>
      <formula2>5</formula2>
    </dataValidation>
    <dataValidation allowBlank="true" error="Wpisz liczbę godzin od 0 do 24." errorStyle="stop" errorTitle="Godziny" operator="between" showDropDown="false" showErrorMessage="true" showInputMessage="false" sqref="H10:I40 N10:N40" type="decimal">
      <formula1>0</formula1>
      <formula2>24</formula2>
    </dataValidation>
    <dataValidation allowBlank="true" errorStyle="stop" operator="between" showDropDown="false" showErrorMessage="false" showInputMessage="false" sqref="L3" type="list">
      <formula1>"Podstawowy,Równoważny,Przerywany,Zadaniowy"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" t="s">
        <v>56</v>
      </c>
      <c r="D1" s="2" t="s">
        <v>1</v>
      </c>
    </row>
    <row r="2" customFormat="false" ht="15" hidden="false" customHeight="false" outlineLevel="0" collapsed="false">
      <c r="A2" s="6" t="s">
        <v>57</v>
      </c>
    </row>
    <row r="4" customFormat="false" ht="30" hidden="false" customHeight="true" outlineLevel="0" collapsed="false">
      <c r="A4" s="10" t="s">
        <v>32</v>
      </c>
      <c r="B4" s="10" t="s">
        <v>58</v>
      </c>
      <c r="C4" s="10" t="s">
        <v>59</v>
      </c>
      <c r="D4" s="9" t="s">
        <v>60</v>
      </c>
    </row>
    <row r="5" customFormat="false" ht="15" hidden="false" customHeight="false" outlineLevel="0" collapsed="false">
      <c r="A5" s="26" t="s">
        <v>41</v>
      </c>
      <c r="B5" s="27" t="s">
        <v>61</v>
      </c>
      <c r="C5" s="27" t="s">
        <v>62</v>
      </c>
      <c r="D5" s="28" t="n">
        <f aca="false">COUNTIF('Karta ewidencji'!$M$10:$M$40,A5)</f>
        <v>4</v>
      </c>
    </row>
    <row r="6" customFormat="false" ht="15" hidden="false" customHeight="false" outlineLevel="0" collapsed="false">
      <c r="A6" s="26" t="s">
        <v>63</v>
      </c>
      <c r="B6" s="27" t="s">
        <v>64</v>
      </c>
      <c r="C6" s="27" t="s">
        <v>65</v>
      </c>
      <c r="D6" s="28" t="n">
        <f aca="false">COUNTIF('Karta ewidencji'!$M$10:$M$40,A6)</f>
        <v>0</v>
      </c>
    </row>
    <row r="7" customFormat="false" ht="15" hidden="false" customHeight="false" outlineLevel="0" collapsed="false">
      <c r="A7" s="26" t="s">
        <v>66</v>
      </c>
      <c r="B7" s="27" t="s">
        <v>67</v>
      </c>
      <c r="C7" s="27" t="s">
        <v>68</v>
      </c>
      <c r="D7" s="28" t="n">
        <f aca="false">COUNTIF('Karta ewidencji'!$M$10:$M$40,A7)</f>
        <v>0</v>
      </c>
    </row>
    <row r="8" customFormat="false" ht="15" hidden="false" customHeight="false" outlineLevel="0" collapsed="false">
      <c r="A8" s="26" t="s">
        <v>39</v>
      </c>
      <c r="B8" s="27" t="s">
        <v>69</v>
      </c>
      <c r="C8" s="27" t="s">
        <v>70</v>
      </c>
      <c r="D8" s="28" t="n">
        <f aca="false">COUNTIF('Karta ewidencji'!$M$10:$M$40,A8)</f>
        <v>1</v>
      </c>
    </row>
    <row r="9" customFormat="false" ht="15" hidden="false" customHeight="false" outlineLevel="0" collapsed="false">
      <c r="A9" s="26" t="s">
        <v>71</v>
      </c>
      <c r="B9" s="27" t="s">
        <v>72</v>
      </c>
      <c r="C9" s="27" t="s">
        <v>73</v>
      </c>
      <c r="D9" s="28" t="n">
        <f aca="false">COUNTIF('Karta ewidencji'!$M$10:$M$40,A9)</f>
        <v>0</v>
      </c>
    </row>
    <row r="10" customFormat="false" ht="15" hidden="false" customHeight="false" outlineLevel="0" collapsed="false">
      <c r="A10" s="26" t="s">
        <v>74</v>
      </c>
      <c r="B10" s="27" t="s">
        <v>75</v>
      </c>
      <c r="C10" s="27" t="s">
        <v>76</v>
      </c>
      <c r="D10" s="28" t="n">
        <f aca="false">COUNTIF('Karta ewidencji'!$M$10:$M$40,A10)</f>
        <v>0</v>
      </c>
    </row>
    <row r="11" customFormat="false" ht="15" hidden="false" customHeight="false" outlineLevel="0" collapsed="false">
      <c r="A11" s="26" t="s">
        <v>77</v>
      </c>
      <c r="B11" s="27" t="s">
        <v>78</v>
      </c>
      <c r="C11" s="27" t="s">
        <v>79</v>
      </c>
      <c r="D11" s="28" t="n">
        <f aca="false">COUNTIF('Karta ewidencji'!$M$10:$M$40,A11)</f>
        <v>0</v>
      </c>
    </row>
    <row r="12" customFormat="false" ht="15" hidden="false" customHeight="false" outlineLevel="0" collapsed="false">
      <c r="A12" s="26" t="s">
        <v>80</v>
      </c>
      <c r="B12" s="27" t="s">
        <v>81</v>
      </c>
      <c r="C12" s="27" t="s">
        <v>82</v>
      </c>
      <c r="D12" s="28" t="n">
        <f aca="false">COUNTIF('Karta ewidencji'!$M$10:$M$40,A12)</f>
        <v>0</v>
      </c>
    </row>
    <row r="13" customFormat="false" ht="15" hidden="false" customHeight="false" outlineLevel="0" collapsed="false">
      <c r="A13" s="26" t="s">
        <v>83</v>
      </c>
      <c r="B13" s="27" t="s">
        <v>84</v>
      </c>
      <c r="C13" s="27" t="s">
        <v>85</v>
      </c>
      <c r="D13" s="28" t="n">
        <f aca="false">COUNTIF('Karta ewidencji'!$M$10:$M$40,A13)</f>
        <v>0</v>
      </c>
    </row>
    <row r="14" customFormat="false" ht="15" hidden="false" customHeight="false" outlineLevel="0" collapsed="false">
      <c r="A14" s="26" t="s">
        <v>86</v>
      </c>
      <c r="B14" s="27" t="s">
        <v>87</v>
      </c>
      <c r="C14" s="27" t="s">
        <v>88</v>
      </c>
      <c r="D14" s="28" t="n">
        <f aca="false">COUNTIF('Karta ewidencji'!$M$10:$M$40,A14)</f>
        <v>0</v>
      </c>
    </row>
    <row r="15" customFormat="false" ht="15" hidden="false" customHeight="false" outlineLevel="0" collapsed="false">
      <c r="A15" s="26" t="s">
        <v>89</v>
      </c>
      <c r="B15" s="27" t="s">
        <v>90</v>
      </c>
      <c r="C15" s="27" t="s">
        <v>91</v>
      </c>
      <c r="D15" s="28" t="n">
        <f aca="false">COUNTIF('Karta ewidencji'!$M$10:$M$40,A15)</f>
        <v>0</v>
      </c>
    </row>
    <row r="16" customFormat="false" ht="15" hidden="false" customHeight="false" outlineLevel="0" collapsed="false">
      <c r="A16" s="26" t="s">
        <v>92</v>
      </c>
      <c r="B16" s="27" t="s">
        <v>93</v>
      </c>
      <c r="C16" s="27" t="s">
        <v>94</v>
      </c>
      <c r="D16" s="28" t="n">
        <f aca="false">COUNTIF('Karta ewidencji'!$M$10:$M$40,A16)</f>
        <v>0</v>
      </c>
    </row>
    <row r="17" customFormat="false" ht="15" hidden="false" customHeight="false" outlineLevel="0" collapsed="false">
      <c r="A17" s="26" t="s">
        <v>95</v>
      </c>
      <c r="B17" s="27" t="s">
        <v>96</v>
      </c>
      <c r="C17" s="27" t="s">
        <v>97</v>
      </c>
      <c r="D17" s="28" t="n">
        <f aca="false">COUNTIF('Karta ewidencji'!$M$10:$M$40,A17)</f>
        <v>0</v>
      </c>
    </row>
    <row r="18" customFormat="false" ht="15" hidden="false" customHeight="false" outlineLevel="0" collapsed="false">
      <c r="A18" s="26" t="s">
        <v>98</v>
      </c>
      <c r="B18" s="27" t="s">
        <v>99</v>
      </c>
      <c r="C18" s="27" t="s">
        <v>100</v>
      </c>
      <c r="D18" s="29" t="n">
        <f aca="false">SUM('Karta ewidencji'!$H$10:$H$40)</f>
        <v>2</v>
      </c>
    </row>
    <row r="19" customFormat="false" ht="32.8" hidden="false" customHeight="false" outlineLevel="0" collapsed="false">
      <c r="A19" s="26" t="s">
        <v>101</v>
      </c>
      <c r="B19" s="27" t="s">
        <v>102</v>
      </c>
      <c r="C19" s="27" t="s">
        <v>103</v>
      </c>
      <c r="D19" s="29" t="n">
        <f aca="false">SUM('Karta ewidencji'!$I$10:$I$40)</f>
        <v>1</v>
      </c>
    </row>
    <row r="21" customFormat="false" ht="15" hidden="false" customHeight="false" outlineLevel="0" collapsed="false">
      <c r="A21" s="6" t="s">
        <v>104</v>
      </c>
    </row>
    <row r="22" customFormat="false" ht="15" hidden="false" customHeight="false" outlineLevel="0" collapsed="false">
      <c r="A22" s="6" t="s">
        <v>105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2"/>
    <col collapsed="false" customWidth="true" hidden="false" outlineLevel="0" max="6" min="6" style="0" width="7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106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0" t="s">
        <v>107</v>
      </c>
      <c r="B3" s="31" t="n">
        <f aca="false">DATE(YEAR('Karta ewidencji'!$C$7),MONTH('Karta ewidencji'!$C$7),1)</f>
        <v>46327</v>
      </c>
      <c r="D3" s="32" t="s">
        <v>108</v>
      </c>
    </row>
    <row r="4" customFormat="false" ht="15" hidden="false" customHeight="false" outlineLevel="0" collapsed="false">
      <c r="A4" s="30" t="s">
        <v>109</v>
      </c>
      <c r="B4" s="31" t="n">
        <f aca="false">EOMONTH(B3,0)</f>
        <v>46356</v>
      </c>
      <c r="D4" s="10" t="s">
        <v>110</v>
      </c>
      <c r="E4" s="10" t="s">
        <v>20</v>
      </c>
      <c r="F4" s="9" t="s">
        <v>21</v>
      </c>
      <c r="G4" s="9" t="s">
        <v>111</v>
      </c>
    </row>
    <row r="5" customFormat="false" ht="15" hidden="false" customHeight="false" outlineLevel="0" collapsed="false">
      <c r="A5" s="30" t="s">
        <v>112</v>
      </c>
      <c r="B5" s="33" t="n">
        <f aca="false">B4-B3+1</f>
        <v>30</v>
      </c>
      <c r="D5" s="34" t="s">
        <v>113</v>
      </c>
      <c r="E5" s="35" t="n">
        <v>46327</v>
      </c>
      <c r="F5" s="12" t="str">
        <f aca="false">IF(E5="","",CHOOSE(WEEKDAY(E5),"nd","pon","wt","śr","czw","pt","sob"))</f>
        <v>nd</v>
      </c>
      <c r="G5" s="12" t="str">
        <f aca="false">IF(E5="","",IF(OR(E5&lt;$B$3,E5&gt;$B$4),"poza okresem",IF(WEEKDAY(E5,2)=7,"nie (niedziela)","tak, −8 h")))</f>
        <v>nie (niedziela)</v>
      </c>
    </row>
    <row r="6" customFormat="false" ht="15" hidden="false" customHeight="false" outlineLevel="0" collapsed="false">
      <c r="A6" s="30" t="s">
        <v>114</v>
      </c>
      <c r="B6" s="33" t="n">
        <f aca="false">INT(B5/7)</f>
        <v>4</v>
      </c>
      <c r="D6" s="34" t="s">
        <v>115</v>
      </c>
      <c r="E6" s="35" t="n">
        <v>46337</v>
      </c>
      <c r="F6" s="12" t="str">
        <f aca="false">IF(E6="","",CHOOSE(WEEKDAY(E6),"nd","pon","wt","śr","czw","pt","sob"))</f>
        <v>śr</v>
      </c>
      <c r="G6" s="12" t="str">
        <f aca="false">IF(E6="","",IF(OR(E6&lt;$B$3,E6&gt;$B$4),"poza okresem",IF(WEEKDAY(E6,2)=7,"nie (niedziela)","tak, −8 h")))</f>
        <v>tak, −8 h</v>
      </c>
    </row>
    <row r="7" customFormat="false" ht="15" hidden="false" customHeight="false" outlineLevel="0" collapsed="false">
      <c r="A7" s="30" t="s">
        <v>116</v>
      </c>
      <c r="B7" s="33" t="n">
        <f aca="false">IF(MOD(B5,7)=0,0,NETWORKDAYS(B3+7*B6,B4))</f>
        <v>1</v>
      </c>
      <c r="D7" s="34"/>
      <c r="E7" s="35"/>
      <c r="F7" s="12" t="str">
        <f aca="false">IF(E7="","",CHOOSE(WEEKDAY(E7),"nd","pon","wt","śr","czw","pt","sob"))</f>
        <v/>
      </c>
      <c r="G7" s="12" t="str">
        <f aca="false">IF(E7="","",IF(OR(E7&lt;$B$3,E7&gt;$B$4),"poza okresem",IF(WEEKDAY(E7,2)=7,"nie (niedziela)","tak, −8 h")))</f>
        <v/>
      </c>
    </row>
    <row r="8" customFormat="false" ht="15" hidden="false" customHeight="false" outlineLevel="0" collapsed="false">
      <c r="A8" s="30" t="s">
        <v>117</v>
      </c>
      <c r="B8" s="33" t="n">
        <f aca="false">SUMPRODUCT(ISNUMBER(E5:E20)*(E5:E20&gt;=B3)*(E5:E20&lt;=B4)*(WEEKDAY(E5:E20,2)&lt;7))</f>
        <v>1</v>
      </c>
      <c r="D8" s="34"/>
      <c r="E8" s="35"/>
      <c r="F8" s="12" t="str">
        <f aca="false">IF(E8="","",CHOOSE(WEEKDAY(E8),"nd","pon","wt","śr","czw","pt","sob"))</f>
        <v/>
      </c>
      <c r="G8" s="12" t="str">
        <f aca="false">IF(E8="","",IF(OR(E8&lt;$B$3,E8&gt;$B$4),"poza okresem",IF(WEEKDAY(E8,2)=7,"nie (niedziela)","tak, −8 h")))</f>
        <v/>
      </c>
    </row>
    <row r="9" customFormat="false" ht="15" hidden="false" customHeight="false" outlineLevel="0" collapsed="false">
      <c r="A9" s="36" t="s">
        <v>118</v>
      </c>
      <c r="B9" s="37" t="n">
        <f aca="false">40*B6+8*B7-8*B8</f>
        <v>160</v>
      </c>
      <c r="D9" s="34"/>
      <c r="E9" s="35"/>
      <c r="F9" s="12" t="str">
        <f aca="false">IF(E9="","",CHOOSE(WEEKDAY(E9),"nd","pon","wt","śr","czw","pt","sob"))</f>
        <v/>
      </c>
      <c r="G9" s="12" t="str">
        <f aca="false">IF(E9="","",IF(OR(E9&lt;$B$3,E9&gt;$B$4),"poza okresem",IF(WEEKDAY(E9,2)=7,"nie (niedziela)","tak, −8 h")))</f>
        <v/>
      </c>
    </row>
    <row r="10" customFormat="false" ht="15" hidden="false" customHeight="false" outlineLevel="0" collapsed="false">
      <c r="A10" s="30" t="s">
        <v>119</v>
      </c>
      <c r="B10" s="38" t="n">
        <f aca="false">'Karta ewidencji'!$C$6</f>
        <v>1</v>
      </c>
      <c r="D10" s="34"/>
      <c r="E10" s="35"/>
      <c r="F10" s="12" t="str">
        <f aca="false">IF(E10="","",CHOOSE(WEEKDAY(E10),"nd","pon","wt","śr","czw","pt","sob"))</f>
        <v/>
      </c>
      <c r="G10" s="12" t="str">
        <f aca="false">IF(E10="","",IF(OR(E10&lt;$B$3,E10&gt;$B$4),"poza okresem",IF(WEEKDAY(E10,2)=7,"nie (niedziela)","tak, −8 h")))</f>
        <v/>
      </c>
    </row>
    <row r="11" customFormat="false" ht="15" hidden="false" customHeight="false" outlineLevel="0" collapsed="false">
      <c r="A11" s="36" t="s">
        <v>120</v>
      </c>
      <c r="B11" s="39" t="n">
        <f aca="false">B9*B10</f>
        <v>160</v>
      </c>
      <c r="D11" s="34"/>
      <c r="E11" s="35"/>
      <c r="F11" s="12" t="str">
        <f aca="false">IF(E11="","",CHOOSE(WEEKDAY(E11),"nd","pon","wt","śr","czw","pt","sob"))</f>
        <v/>
      </c>
      <c r="G11" s="12" t="str">
        <f aca="false">IF(E11="","",IF(OR(E11&lt;$B$3,E11&gt;$B$4),"poza okresem",IF(WEEKDAY(E11,2)=7,"nie (niedziela)","tak, −8 h")))</f>
        <v/>
      </c>
    </row>
    <row r="12" customFormat="false" ht="15" hidden="false" customHeight="false" outlineLevel="0" collapsed="false">
      <c r="A12" s="40" t="s">
        <v>121</v>
      </c>
      <c r="B12" s="39" t="n">
        <f aca="false">B11</f>
        <v>160</v>
      </c>
      <c r="D12" s="34"/>
      <c r="E12" s="35"/>
      <c r="F12" s="12" t="str">
        <f aca="false">IF(E12="","",CHOOSE(WEEKDAY(E12),"nd","pon","wt","śr","czw","pt","sob"))</f>
        <v/>
      </c>
      <c r="G12" s="12" t="str">
        <f aca="false">IF(E12="","",IF(OR(E12&lt;$B$3,E12&gt;$B$4),"poza okresem",IF(WEEKDAY(E12,2)=7,"nie (niedziela)","tak, −8 h")))</f>
        <v/>
      </c>
    </row>
    <row r="13" customFormat="false" ht="15" hidden="false" customHeight="false" outlineLevel="0" collapsed="false">
      <c r="D13" s="34"/>
      <c r="E13" s="35"/>
      <c r="F13" s="12" t="str">
        <f aca="false">IF(E13="","",CHOOSE(WEEKDAY(E13),"nd","pon","wt","śr","czw","pt","sob"))</f>
        <v/>
      </c>
      <c r="G13" s="12" t="str">
        <f aca="false">IF(E13="","",IF(OR(E13&lt;$B$3,E13&gt;$B$4),"poza okresem",IF(WEEKDAY(E13,2)=7,"nie (niedziela)","tak, −8 h")))</f>
        <v/>
      </c>
    </row>
    <row r="14" customFormat="false" ht="15" hidden="false" customHeight="false" outlineLevel="0" collapsed="false">
      <c r="A14" s="32" t="str">
        <f aca="false">"Wzór: 40 × "&amp;B6&amp;" + 8 × "&amp;B7&amp;" − 8 × "&amp;B8&amp;" = "&amp;B9&amp;" h"</f>
        <v>Wzór: 40 × 4 + 8 × 1 − 8 × 1 = 160 h</v>
      </c>
      <c r="D14" s="34"/>
      <c r="E14" s="35"/>
      <c r="F14" s="12" t="str">
        <f aca="false">IF(E14="","",CHOOSE(WEEKDAY(E14),"nd","pon","wt","śr","czw","pt","sob"))</f>
        <v/>
      </c>
      <c r="G14" s="12" t="str">
        <f aca="false">IF(E14="","",IF(OR(E14&lt;$B$3,E14&gt;$B$4),"poza okresem",IF(WEEKDAY(E14,2)=7,"nie (niedziela)","tak, −8 h")))</f>
        <v/>
      </c>
    </row>
    <row r="15" customFormat="false" ht="15" hidden="false" customHeight="true" outlineLevel="0" collapsed="false">
      <c r="A15" s="41" t="s">
        <v>122</v>
      </c>
      <c r="B15" s="41"/>
      <c r="D15" s="34"/>
      <c r="E15" s="35"/>
      <c r="F15" s="12" t="str">
        <f aca="false">IF(E15="","",CHOOSE(WEEKDAY(E15),"nd","pon","wt","śr","czw","pt","sob"))</f>
        <v/>
      </c>
      <c r="G15" s="12" t="str">
        <f aca="false">IF(E15="","",IF(OR(E15&lt;$B$3,E15&gt;$B$4),"poza okresem",IF(WEEKDAY(E15,2)=7,"nie (niedziela)","tak, −8 h")))</f>
        <v/>
      </c>
    </row>
    <row r="16" customFormat="false" ht="15" hidden="false" customHeight="false" outlineLevel="0" collapsed="false">
      <c r="A16" s="41"/>
      <c r="B16" s="41"/>
      <c r="D16" s="34"/>
      <c r="E16" s="35"/>
      <c r="F16" s="12" t="str">
        <f aca="false">IF(E16="","",CHOOSE(WEEKDAY(E16),"nd","pon","wt","śr","czw","pt","sob"))</f>
        <v/>
      </c>
      <c r="G16" s="12" t="str">
        <f aca="false">IF(E16="","",IF(OR(E16&lt;$B$3,E16&gt;$B$4),"poza okresem",IF(WEEKDAY(E16,2)=7,"nie (niedziela)","tak, −8 h")))</f>
        <v/>
      </c>
    </row>
    <row r="17" customFormat="false" ht="15" hidden="false" customHeight="false" outlineLevel="0" collapsed="false">
      <c r="A17" s="41"/>
      <c r="B17" s="41"/>
      <c r="D17" s="34"/>
      <c r="E17" s="35"/>
      <c r="F17" s="12" t="str">
        <f aca="false">IF(E17="","",CHOOSE(WEEKDAY(E17),"nd","pon","wt","śr","czw","pt","sob"))</f>
        <v/>
      </c>
      <c r="G17" s="12" t="str">
        <f aca="false">IF(E17="","",IF(OR(E17&lt;$B$3,E17&gt;$B$4),"poza okresem",IF(WEEKDAY(E17,2)=7,"nie (niedziela)","tak, −8 h")))</f>
        <v/>
      </c>
    </row>
    <row r="18" customFormat="false" ht="15" hidden="false" customHeight="true" outlineLevel="0" collapsed="false">
      <c r="A18" s="41" t="s">
        <v>123</v>
      </c>
      <c r="B18" s="41"/>
      <c r="D18" s="34"/>
      <c r="E18" s="35"/>
      <c r="F18" s="12" t="str">
        <f aca="false">IF(E18="","",CHOOSE(WEEKDAY(E18),"nd","pon","wt","śr","czw","pt","sob"))</f>
        <v/>
      </c>
      <c r="G18" s="12" t="str">
        <f aca="false">IF(E18="","",IF(OR(E18&lt;$B$3,E18&gt;$B$4),"poza okresem",IF(WEEKDAY(E18,2)=7,"nie (niedziela)","tak, −8 h")))</f>
        <v/>
      </c>
    </row>
    <row r="19" customFormat="false" ht="15" hidden="false" customHeight="false" outlineLevel="0" collapsed="false">
      <c r="A19" s="41"/>
      <c r="B19" s="41"/>
      <c r="D19" s="34"/>
      <c r="E19" s="35"/>
      <c r="F19" s="12" t="str">
        <f aca="false">IF(E19="","",CHOOSE(WEEKDAY(E19),"nd","pon","wt","śr","czw","pt","sob"))</f>
        <v/>
      </c>
      <c r="G19" s="12" t="str">
        <f aca="false">IF(E19="","",IF(OR(E19&lt;$B$3,E19&gt;$B$4),"poza okresem",IF(WEEKDAY(E19,2)=7,"nie (niedziela)","tak, −8 h")))</f>
        <v/>
      </c>
    </row>
    <row r="20" customFormat="false" ht="15" hidden="false" customHeight="false" outlineLevel="0" collapsed="false">
      <c r="A20" s="41"/>
      <c r="B20" s="41"/>
      <c r="D20" s="34"/>
      <c r="E20" s="35"/>
      <c r="F20" s="12" t="str">
        <f aca="false">IF(E20="","",CHOOSE(WEEKDAY(E20),"nd","pon","wt","śr","czw","pt","sob"))</f>
        <v/>
      </c>
      <c r="G20" s="12" t="str">
        <f aca="false">IF(E20="","",IF(OR(E20&lt;$B$3,E20&gt;$B$4),"poza okresem",IF(WEEKDAY(E20,2)=7,"nie (niedziela)","tak, −8 h")))</f>
        <v/>
      </c>
    </row>
    <row r="21" customFormat="false" ht="15" hidden="false" customHeight="true" outlineLevel="0" collapsed="false">
      <c r="A21" s="41" t="s">
        <v>124</v>
      </c>
      <c r="B21" s="41"/>
    </row>
    <row r="22" customFormat="false" ht="15" hidden="false" customHeight="false" outlineLevel="0" collapsed="false">
      <c r="A22" s="41"/>
      <c r="B22" s="41"/>
      <c r="D22" s="6" t="s">
        <v>125</v>
      </c>
    </row>
  </sheetData>
  <sheetProtection sheet="true"/>
  <mergeCells count="3">
    <mergeCell ref="A15:B17"/>
    <mergeCell ref="A18:B20"/>
    <mergeCell ref="A21:B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4"/>
    <col collapsed="false" customWidth="true" hidden="false" outlineLevel="0" max="3" min="3" style="0" width="19"/>
    <col collapsed="false" customWidth="true" hidden="false" outlineLevel="0" max="4" min="4" style="0" width="22"/>
    <col collapsed="false" customWidth="true" hidden="false" outlineLevel="0" max="5" min="5" style="0" width="2.5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10" min="8" style="0" width="13"/>
    <col collapsed="false" customWidth="true" hidden="false" outlineLevel="0" max="11" min="11" style="0" width="11"/>
    <col collapsed="false" customWidth="true" hidden="false" outlineLevel="0" max="12" min="12" style="0" width="12.5"/>
    <col collapsed="false" customWidth="true" hidden="false" outlineLevel="0" max="13" min="13" style="0" width="15"/>
  </cols>
  <sheetData>
    <row r="1" customFormat="false" ht="17.35" hidden="false" customHeight="false" outlineLevel="0" collapsed="false">
      <c r="A1" s="1" t="s">
        <v>126</v>
      </c>
      <c r="F1" s="2" t="s">
        <v>1</v>
      </c>
    </row>
    <row r="3" customFormat="false" ht="15" hidden="false" customHeight="false" outlineLevel="0" collapsed="false">
      <c r="A3" s="32" t="s">
        <v>127</v>
      </c>
      <c r="F3" s="32" t="s">
        <v>128</v>
      </c>
    </row>
    <row r="4" customFormat="false" ht="30" hidden="false" customHeight="true" outlineLevel="0" collapsed="false">
      <c r="A4" s="9" t="s">
        <v>129</v>
      </c>
      <c r="B4" s="9"/>
      <c r="C4" s="9" t="s">
        <v>130</v>
      </c>
      <c r="D4" s="9" t="s">
        <v>131</v>
      </c>
      <c r="F4" s="9" t="s">
        <v>132</v>
      </c>
      <c r="G4" s="9" t="s">
        <v>133</v>
      </c>
      <c r="H4" s="9" t="s">
        <v>24</v>
      </c>
      <c r="I4" s="9" t="s">
        <v>26</v>
      </c>
      <c r="J4" s="9" t="s">
        <v>27</v>
      </c>
      <c r="K4" s="9" t="s">
        <v>28</v>
      </c>
      <c r="L4" s="9" t="s">
        <v>134</v>
      </c>
      <c r="M4" s="9" t="s">
        <v>135</v>
      </c>
    </row>
    <row r="5" customFormat="false" ht="24" hidden="false" customHeight="true" outlineLevel="0" collapsed="false">
      <c r="A5" s="27" t="s">
        <v>136</v>
      </c>
      <c r="B5" s="27"/>
      <c r="C5" s="42" t="n">
        <f aca="false">SUMPRODUCT(($F$33:$F$63&gt;0)*(WEEKDAY($F$33:$F$63,2)&lt;7)*('Karta ewidencji'!$C$10:$C$40="")*('Karta ewidencji'!$M$10:$M$40="")*(COUNTIF(Wymiar!$E$5:$E$20,$F$33:$F$63)=0))</f>
        <v>0</v>
      </c>
      <c r="D5" s="43" t="str">
        <f aca="false">IF(C5=0,"OK","Uzupełnij")</f>
        <v>OK</v>
      </c>
      <c r="F5" s="11" t="n">
        <f aca="false">Wymiar!$B$3-WEEKDAY(Wymiar!$B$3,3)+0</f>
        <v>46321</v>
      </c>
      <c r="G5" s="11" t="n">
        <f aca="false">F5+6</f>
        <v>46327</v>
      </c>
      <c r="H5" s="44" t="n">
        <f aca="false">SUMIFS('Karta ewidencji'!$E$10:$E$40,'Karta ewidencji'!$A$10:$A$40,"&gt;="&amp;F5,'Karta ewidencji'!$A$10:$A$40,"&lt;="&amp;G5)</f>
        <v>0</v>
      </c>
      <c r="I5" s="45" t="n">
        <f aca="false">SUMIFS('Karta ewidencji'!$G$10:$G$40,'Karta ewidencji'!$A$10:$A$40,"&gt;="&amp;F5,'Karta ewidencji'!$A$10:$A$40,"&lt;="&amp;G5)</f>
        <v>0</v>
      </c>
      <c r="J5" s="45" t="n">
        <f aca="false">SUMIFS('Karta ewidencji'!$H$10:$H$40,'Karta ewidencji'!$A$10:$A$40,"&gt;="&amp;F5,'Karta ewidencji'!$A$10:$A$40,"&lt;="&amp;G5)</f>
        <v>0</v>
      </c>
      <c r="K5" s="45" t="n">
        <f aca="false">SUMIFS('Karta ewidencji'!$I$10:$I$40,'Karta ewidencji'!$A$10:$A$40,"&gt;="&amp;F5,'Karta ewidencji'!$A$10:$A$40,"&lt;="&amp;G5)</f>
        <v>0</v>
      </c>
      <c r="L5" s="44" t="n">
        <f aca="false">SUMPRODUCT(MAX(($J$33:$J$63&gt;=F5)*($J$33:$J$63&lt;F5+7)*$K$33:$K$63))</f>
        <v>0</v>
      </c>
      <c r="M5" s="12" t="str">
        <f aca="false">IF(OR(F5&lt;Wymiar!$B$3,G5&gt;Wymiar!$B$4),"tydzień niepełny",IF(L5&gt;=35,"OK (≥ 35 h)","&lt; 35 h"))</f>
        <v>tydzień niepełny</v>
      </c>
    </row>
    <row r="6" customFormat="false" ht="24" hidden="false" customHeight="true" outlineLevel="0" collapsed="false">
      <c r="A6" s="27" t="s">
        <v>137</v>
      </c>
      <c r="B6" s="27"/>
      <c r="C6" s="14" t="n">
        <f aca="false">'Karta ewidencji'!E41</f>
        <v>155</v>
      </c>
      <c r="D6" s="43" t="str">
        <f aca="false">""</f>
        <v/>
      </c>
      <c r="F6" s="11" t="n">
        <f aca="false">Wymiar!$B$3-WEEKDAY(Wymiar!$B$3,3)+7</f>
        <v>46328</v>
      </c>
      <c r="G6" s="11" t="n">
        <f aca="false">F6+6</f>
        <v>46334</v>
      </c>
      <c r="H6" s="44" t="n">
        <f aca="false">SUMIFS('Karta ewidencji'!$E$10:$E$40,'Karta ewidencji'!$A$10:$A$40,"&gt;="&amp;F6,'Karta ewidencji'!$A$10:$A$40,"&lt;="&amp;G6)</f>
        <v>35</v>
      </c>
      <c r="I6" s="45" t="n">
        <f aca="false">SUMIFS('Karta ewidencji'!$G$10:$G$40,'Karta ewidencji'!$A$10:$A$40,"&gt;="&amp;F6,'Karta ewidencji'!$A$10:$A$40,"&lt;="&amp;G6)</f>
        <v>2</v>
      </c>
      <c r="J6" s="45" t="n">
        <f aca="false">SUMIFS('Karta ewidencji'!$H$10:$H$40,'Karta ewidencji'!$A$10:$A$40,"&gt;="&amp;F6,'Karta ewidencji'!$A$10:$A$40,"&lt;="&amp;G6)</f>
        <v>2</v>
      </c>
      <c r="K6" s="45" t="n">
        <f aca="false">SUMIFS('Karta ewidencji'!$I$10:$I$40,'Karta ewidencji'!$A$10:$A$40,"&gt;="&amp;F6,'Karta ewidencji'!$A$10:$A$40,"&lt;="&amp;G6)</f>
        <v>1</v>
      </c>
      <c r="L6" s="44" t="n">
        <f aca="false">SUMPRODUCT(MAX(($J$33:$J$63&gt;=F6)*($J$33:$J$63&lt;F6+7)*$K$33:$K$63))</f>
        <v>64</v>
      </c>
      <c r="M6" s="12" t="str">
        <f aca="false">IF(OR(F6&lt;Wymiar!$B$3,G6&gt;Wymiar!$B$4),"tydzień niepełny",IF(L6&gt;=35,"OK (≥ 35 h)","&lt; 35 h"))</f>
        <v>OK (≥ 35 h)</v>
      </c>
    </row>
    <row r="7" customFormat="false" ht="24" hidden="false" customHeight="true" outlineLevel="0" collapsed="false">
      <c r="A7" s="27" t="s">
        <v>138</v>
      </c>
      <c r="B7" s="27"/>
      <c r="C7" s="16" t="n">
        <f aca="false">'Karta ewidencji'!H41</f>
        <v>2</v>
      </c>
      <c r="D7" s="43" t="str">
        <f aca="false">""</f>
        <v/>
      </c>
      <c r="F7" s="11" t="n">
        <f aca="false">Wymiar!$B$3-WEEKDAY(Wymiar!$B$3,3)+14</f>
        <v>46335</v>
      </c>
      <c r="G7" s="11" t="n">
        <f aca="false">F7+6</f>
        <v>46341</v>
      </c>
      <c r="H7" s="44" t="n">
        <f aca="false">SUMIFS('Karta ewidencji'!$E$10:$E$40,'Karta ewidencji'!$A$10:$A$40,"&gt;="&amp;F7,'Karta ewidencji'!$A$10:$A$40,"&lt;="&amp;G7)</f>
        <v>32</v>
      </c>
      <c r="I7" s="45" t="n">
        <f aca="false">SUMIFS('Karta ewidencji'!$G$10:$G$40,'Karta ewidencji'!$A$10:$A$40,"&gt;="&amp;F7,'Karta ewidencji'!$A$10:$A$40,"&lt;="&amp;G7)</f>
        <v>0</v>
      </c>
      <c r="J7" s="45" t="n">
        <f aca="false">SUMIFS('Karta ewidencji'!$H$10:$H$40,'Karta ewidencji'!$A$10:$A$40,"&gt;="&amp;F7,'Karta ewidencji'!$A$10:$A$40,"&lt;="&amp;G7)</f>
        <v>0</v>
      </c>
      <c r="K7" s="45" t="n">
        <f aca="false">SUMIFS('Karta ewidencji'!$I$10:$I$40,'Karta ewidencji'!$A$10:$A$40,"&gt;="&amp;F7,'Karta ewidencji'!$A$10:$A$40,"&lt;="&amp;G7)</f>
        <v>0</v>
      </c>
      <c r="L7" s="44" t="n">
        <f aca="false">SUMPRODUCT(MAX(($J$33:$J$63&gt;=F7)*($J$33:$J$63&lt;F7+7)*$K$33:$K$63))</f>
        <v>72</v>
      </c>
      <c r="M7" s="12" t="str">
        <f aca="false">IF(OR(F7&lt;Wymiar!$B$3,G7&gt;Wymiar!$B$4),"tydzień niepełny",IF(L7&gt;=35,"OK (≥ 35 h)","&lt; 35 h"))</f>
        <v>OK (≥ 35 h)</v>
      </c>
    </row>
    <row r="8" customFormat="false" ht="24" hidden="false" customHeight="true" outlineLevel="0" collapsed="false">
      <c r="A8" s="27" t="s">
        <v>139</v>
      </c>
      <c r="B8" s="27"/>
      <c r="C8" s="16" t="n">
        <f aca="false">'Karta ewidencji'!I41</f>
        <v>1</v>
      </c>
      <c r="D8" s="43" t="str">
        <f aca="false">""</f>
        <v/>
      </c>
      <c r="F8" s="11" t="n">
        <f aca="false">Wymiar!$B$3-WEEKDAY(Wymiar!$B$3,3)+21</f>
        <v>46342</v>
      </c>
      <c r="G8" s="11" t="n">
        <f aca="false">F8+6</f>
        <v>46348</v>
      </c>
      <c r="H8" s="44" t="n">
        <f aca="false">SUMIFS('Karta ewidencji'!$E$10:$E$40,'Karta ewidencji'!$A$10:$A$40,"&gt;="&amp;F8,'Karta ewidencji'!$A$10:$A$40,"&lt;="&amp;G8)</f>
        <v>40</v>
      </c>
      <c r="I8" s="45" t="n">
        <f aca="false">SUMIFS('Karta ewidencji'!$G$10:$G$40,'Karta ewidencji'!$A$10:$A$40,"&gt;="&amp;F8,'Karta ewidencji'!$A$10:$A$40,"&lt;="&amp;G8)</f>
        <v>5</v>
      </c>
      <c r="J8" s="45" t="n">
        <f aca="false">SUMIFS('Karta ewidencji'!$H$10:$H$40,'Karta ewidencji'!$A$10:$A$40,"&gt;="&amp;F8,'Karta ewidencji'!$A$10:$A$40,"&lt;="&amp;G8)</f>
        <v>0</v>
      </c>
      <c r="K8" s="45" t="n">
        <f aca="false">SUMIFS('Karta ewidencji'!$I$10:$I$40,'Karta ewidencji'!$A$10:$A$40,"&gt;="&amp;F8,'Karta ewidencji'!$A$10:$A$40,"&lt;="&amp;G8)</f>
        <v>0</v>
      </c>
      <c r="L8" s="44" t="n">
        <f aca="false">SUMPRODUCT(MAX(($J$33:$J$63&gt;=F8)*($J$33:$J$63&lt;F8+7)*$K$33:$K$63))</f>
        <v>56</v>
      </c>
      <c r="M8" s="12" t="str">
        <f aca="false">IF(OR(F8&lt;Wymiar!$B$3,G8&gt;Wymiar!$B$4),"tydzień niepełny",IF(L8&gt;=35,"OK (≥ 35 h)","&lt; 35 h"))</f>
        <v>OK (≥ 35 h)</v>
      </c>
    </row>
    <row r="9" customFormat="false" ht="24" hidden="false" customHeight="true" outlineLevel="0" collapsed="false">
      <c r="A9" s="27" t="s">
        <v>140</v>
      </c>
      <c r="B9" s="27"/>
      <c r="C9" s="16" t="n">
        <f aca="false">SUMIFS('Karta ewidencji'!$N$10:$N$40,'Karta ewidencji'!$M$10:$M$40,"&lt;&gt;NN")</f>
        <v>8</v>
      </c>
      <c r="D9" s="43" t="str">
        <f aca="false">""</f>
        <v/>
      </c>
      <c r="F9" s="11" t="n">
        <f aca="false">Wymiar!$B$3-WEEKDAY(Wymiar!$B$3,3)+28</f>
        <v>46349</v>
      </c>
      <c r="G9" s="11" t="n">
        <f aca="false">F9+6</f>
        <v>46355</v>
      </c>
      <c r="H9" s="44" t="n">
        <f aca="false">SUMIFS('Karta ewidencji'!$E$10:$E$40,'Karta ewidencji'!$A$10:$A$40,"&gt;="&amp;F9,'Karta ewidencji'!$A$10:$A$40,"&lt;="&amp;G9)</f>
        <v>40</v>
      </c>
      <c r="I9" s="45" t="n">
        <f aca="false">SUMIFS('Karta ewidencji'!$G$10:$G$40,'Karta ewidencji'!$A$10:$A$40,"&gt;="&amp;F9,'Karta ewidencji'!$A$10:$A$40,"&lt;="&amp;G9)</f>
        <v>0</v>
      </c>
      <c r="J9" s="45" t="n">
        <f aca="false">SUMIFS('Karta ewidencji'!$H$10:$H$40,'Karta ewidencji'!$A$10:$A$40,"&gt;="&amp;F9,'Karta ewidencji'!$A$10:$A$40,"&lt;="&amp;G9)</f>
        <v>0</v>
      </c>
      <c r="K9" s="45" t="n">
        <f aca="false">SUMIFS('Karta ewidencji'!$I$10:$I$40,'Karta ewidencji'!$A$10:$A$40,"&gt;="&amp;F9,'Karta ewidencji'!$A$10:$A$40,"&lt;="&amp;G9)</f>
        <v>0</v>
      </c>
      <c r="L9" s="44" t="n">
        <f aca="false">SUMPRODUCT(MAX(($J$33:$J$63&gt;=F9)*($J$33:$J$63&lt;F9+7)*$K$33:$K$63))</f>
        <v>64</v>
      </c>
      <c r="M9" s="12" t="str">
        <f aca="false">IF(OR(F9&lt;Wymiar!$B$3,G9&gt;Wymiar!$B$4),"tydzień niepełny",IF(L9&gt;=35,"OK (≥ 35 h)","&lt; 35 h"))</f>
        <v>OK (≥ 35 h)</v>
      </c>
    </row>
    <row r="10" customFormat="false" ht="24" hidden="false" customHeight="true" outlineLevel="0" collapsed="false">
      <c r="A10" s="27" t="s">
        <v>141</v>
      </c>
      <c r="B10" s="27"/>
      <c r="C10" s="16" t="n">
        <f aca="false">C6-C7-C8+C9</f>
        <v>160</v>
      </c>
      <c r="D10" s="43" t="str">
        <f aca="false">""</f>
        <v/>
      </c>
      <c r="F10" s="11" t="n">
        <f aca="false">Wymiar!$B$3-WEEKDAY(Wymiar!$B$3,3)+35</f>
        <v>46356</v>
      </c>
      <c r="G10" s="11" t="n">
        <f aca="false">F10+6</f>
        <v>46362</v>
      </c>
      <c r="H10" s="44" t="n">
        <f aca="false">SUMIFS('Karta ewidencji'!$E$10:$E$40,'Karta ewidencji'!$A$10:$A$40,"&gt;="&amp;F10,'Karta ewidencji'!$A$10:$A$40,"&lt;="&amp;G10)</f>
        <v>8</v>
      </c>
      <c r="I10" s="45" t="n">
        <f aca="false">SUMIFS('Karta ewidencji'!$G$10:$G$40,'Karta ewidencji'!$A$10:$A$40,"&gt;="&amp;F10,'Karta ewidencji'!$A$10:$A$40,"&lt;="&amp;G10)</f>
        <v>0</v>
      </c>
      <c r="J10" s="45" t="n">
        <f aca="false">SUMIFS('Karta ewidencji'!$H$10:$H$40,'Karta ewidencji'!$A$10:$A$40,"&gt;="&amp;F10,'Karta ewidencji'!$A$10:$A$40,"&lt;="&amp;G10)</f>
        <v>0</v>
      </c>
      <c r="K10" s="45" t="n">
        <f aca="false">SUMIFS('Karta ewidencji'!$I$10:$I$40,'Karta ewidencji'!$A$10:$A$40,"&gt;="&amp;F10,'Karta ewidencji'!$A$10:$A$40,"&lt;="&amp;G10)</f>
        <v>0</v>
      </c>
      <c r="L10" s="44" t="n">
        <f aca="false">SUMPRODUCT(MAX(($J$33:$J$63&gt;=F10)*($J$33:$J$63&lt;F10+7)*$K$33:$K$63))</f>
        <v>0</v>
      </c>
      <c r="M10" s="12" t="str">
        <f aca="false">IF(OR(F10&lt;Wymiar!$B$3,G10&gt;Wymiar!$B$4),"tydzień niepełny",IF(L10&gt;=35,"OK (≥ 35 h)","&lt; 35 h"))</f>
        <v>tydzień niepełny</v>
      </c>
    </row>
    <row r="11" customFormat="false" ht="24" hidden="false" customHeight="true" outlineLevel="0" collapsed="false">
      <c r="A11" s="27" t="s">
        <v>142</v>
      </c>
      <c r="B11" s="27"/>
      <c r="C11" s="16" t="n">
        <f aca="false">Wymiar!B12</f>
        <v>160</v>
      </c>
      <c r="D11" s="43" t="str">
        <f aca="false">""</f>
        <v/>
      </c>
      <c r="F11" s="6" t="s">
        <v>143</v>
      </c>
    </row>
    <row r="12" customFormat="false" ht="24" hidden="false" customHeight="true" outlineLevel="0" collapsed="false">
      <c r="A12" s="46" t="s">
        <v>144</v>
      </c>
      <c r="B12" s="46"/>
      <c r="C12" s="14" t="n">
        <f aca="false">ROUND(C10-C11,2)</f>
        <v>0</v>
      </c>
      <c r="D12" s="43" t="str">
        <f aca="false">IF(C12=0,"OK",IF(C12&gt;0,"Nadwyżka: sprawdź nadgodziny","Niedobór: sprawdź luki"))</f>
        <v>OK</v>
      </c>
      <c r="F12" s="6" t="s">
        <v>145</v>
      </c>
    </row>
    <row r="13" customFormat="false" ht="24" hidden="false" customHeight="true" outlineLevel="0" collapsed="false">
      <c r="A13" s="27" t="s">
        <v>146</v>
      </c>
      <c r="B13" s="27"/>
      <c r="C13" s="42" t="n">
        <f aca="false">COUNTIFS($K$33:$K$63,"&gt;0",$K$33:$K$63,"&lt;11")</f>
        <v>0</v>
      </c>
      <c r="D13" s="43" t="str">
        <f aca="false">IF(C13=0,"OK","Sprawdź")</f>
        <v>OK</v>
      </c>
      <c r="F13" s="6" t="s">
        <v>147</v>
      </c>
    </row>
    <row r="14" customFormat="false" ht="24" hidden="false" customHeight="true" outlineLevel="0" collapsed="false">
      <c r="A14" s="27" t="s">
        <v>148</v>
      </c>
      <c r="B14" s="27"/>
      <c r="C14" s="42" t="n">
        <f aca="false">COUNTIF(M5:M10,"&lt; 35 h")</f>
        <v>0</v>
      </c>
      <c r="D14" s="43" t="str">
        <f aca="false">IF(C14=0,"OK","Sprawdź")</f>
        <v>OK</v>
      </c>
    </row>
    <row r="17" customFormat="false" ht="15" hidden="false" customHeight="false" outlineLevel="0" collapsed="false">
      <c r="A17" s="32" t="s">
        <v>149</v>
      </c>
    </row>
    <row r="18" customFormat="false" ht="15" hidden="false" customHeight="false" outlineLevel="0" collapsed="false">
      <c r="A18" s="10" t="s">
        <v>150</v>
      </c>
      <c r="B18" s="10" t="s">
        <v>151</v>
      </c>
      <c r="C18" s="10" t="s">
        <v>152</v>
      </c>
      <c r="D18" s="10" t="s">
        <v>131</v>
      </c>
    </row>
    <row r="19" customFormat="false" ht="25.5" hidden="false" customHeight="true" outlineLevel="0" collapsed="false">
      <c r="A19" s="46" t="s">
        <v>153</v>
      </c>
      <c r="B19" s="27" t="s">
        <v>154</v>
      </c>
      <c r="C19" s="27" t="s">
        <v>155</v>
      </c>
      <c r="D19" s="47" t="s">
        <v>156</v>
      </c>
    </row>
    <row r="20" customFormat="false" ht="25.5" hidden="false" customHeight="true" outlineLevel="0" collapsed="false">
      <c r="A20" s="46" t="s">
        <v>157</v>
      </c>
      <c r="B20" s="27" t="s">
        <v>158</v>
      </c>
      <c r="C20" s="27" t="s">
        <v>159</v>
      </c>
      <c r="D20" s="47" t="s">
        <v>156</v>
      </c>
    </row>
    <row r="21" customFormat="false" ht="25.5" hidden="false" customHeight="true" outlineLevel="0" collapsed="false">
      <c r="A21" s="46" t="s">
        <v>160</v>
      </c>
      <c r="B21" s="27" t="s">
        <v>161</v>
      </c>
      <c r="C21" s="27" t="s">
        <v>162</v>
      </c>
      <c r="D21" s="47" t="s">
        <v>156</v>
      </c>
    </row>
    <row r="22" customFormat="false" ht="25.5" hidden="false" customHeight="true" outlineLevel="0" collapsed="false">
      <c r="A22" s="46" t="s">
        <v>163</v>
      </c>
      <c r="B22" s="27" t="s">
        <v>164</v>
      </c>
      <c r="C22" s="27" t="s">
        <v>165</v>
      </c>
      <c r="D22" s="47" t="s">
        <v>156</v>
      </c>
    </row>
    <row r="23" customFormat="false" ht="25.5" hidden="false" customHeight="true" outlineLevel="0" collapsed="false">
      <c r="A23" s="46" t="s">
        <v>166</v>
      </c>
      <c r="B23" s="27" t="s">
        <v>167</v>
      </c>
      <c r="C23" s="27" t="s">
        <v>168</v>
      </c>
      <c r="D23" s="47" t="s">
        <v>156</v>
      </c>
    </row>
    <row r="24" customFormat="false" ht="25.5" hidden="false" customHeight="true" outlineLevel="0" collapsed="false">
      <c r="A24" s="46" t="s">
        <v>169</v>
      </c>
      <c r="B24" s="27" t="s">
        <v>170</v>
      </c>
      <c r="C24" s="27" t="s">
        <v>171</v>
      </c>
      <c r="D24" s="47" t="s">
        <v>156</v>
      </c>
    </row>
    <row r="25" customFormat="false" ht="25.5" hidden="false" customHeight="true" outlineLevel="0" collapsed="false">
      <c r="A25" s="46" t="s">
        <v>172</v>
      </c>
      <c r="B25" s="27" t="s">
        <v>173</v>
      </c>
      <c r="C25" s="27" t="s">
        <v>155</v>
      </c>
      <c r="D25" s="47" t="s">
        <v>156</v>
      </c>
    </row>
    <row r="26" customFormat="false" ht="25.5" hidden="false" customHeight="true" outlineLevel="0" collapsed="false">
      <c r="A26" s="46" t="s">
        <v>174</v>
      </c>
      <c r="B26" s="27" t="s">
        <v>175</v>
      </c>
      <c r="C26" s="27" t="s">
        <v>176</v>
      </c>
      <c r="D26" s="47" t="s">
        <v>156</v>
      </c>
    </row>
    <row r="27" customFormat="false" ht="25.5" hidden="false" customHeight="true" outlineLevel="0" collapsed="false">
      <c r="A27" s="46" t="s">
        <v>177</v>
      </c>
      <c r="B27" s="27" t="s">
        <v>178</v>
      </c>
      <c r="C27" s="27" t="s">
        <v>179</v>
      </c>
      <c r="D27" s="47" t="s">
        <v>156</v>
      </c>
    </row>
    <row r="28" customFormat="false" ht="25.5" hidden="false" customHeight="true" outlineLevel="0" collapsed="false">
      <c r="A28" s="46" t="s">
        <v>180</v>
      </c>
      <c r="B28" s="27" t="s">
        <v>181</v>
      </c>
      <c r="C28" s="27" t="s">
        <v>182</v>
      </c>
      <c r="D28" s="47" t="s">
        <v>156</v>
      </c>
    </row>
    <row r="30" customFormat="false" ht="15" hidden="false" customHeight="false" outlineLevel="0" collapsed="false">
      <c r="A30" s="48" t="s">
        <v>183</v>
      </c>
    </row>
    <row r="31" customFormat="false" ht="15" hidden="false" customHeight="false" outlineLevel="0" collapsed="false">
      <c r="A31" s="6" t="s">
        <v>184</v>
      </c>
      <c r="F31" s="32" t="s">
        <v>185</v>
      </c>
    </row>
    <row r="32" customFormat="false" ht="30" hidden="false" customHeight="true" outlineLevel="0" collapsed="false">
      <c r="F32" s="9" t="s">
        <v>20</v>
      </c>
      <c r="G32" s="9" t="s">
        <v>21</v>
      </c>
      <c r="H32" s="9" t="s">
        <v>186</v>
      </c>
      <c r="I32" s="9" t="s">
        <v>187</v>
      </c>
      <c r="J32" s="9" t="s">
        <v>188</v>
      </c>
      <c r="K32" s="9" t="s">
        <v>189</v>
      </c>
    </row>
    <row r="33" customFormat="false" ht="15" hidden="false" customHeight="false" outlineLevel="0" collapsed="false">
      <c r="F33" s="49" t="n">
        <f aca="false">IF(ISNUMBER('Karta ewidencji'!A10),'Karta ewidencji'!A10,0)</f>
        <v>46327</v>
      </c>
      <c r="G33" s="12" t="str">
        <f aca="false">IF(F33=0,"",CHOOSE(WEEKDAY(F33),"nd","pon","wt","śr","czw","pt","sob"))</f>
        <v>nd</v>
      </c>
      <c r="H33" s="50" t="n">
        <f aca="false">IF(AND(F33&gt;0,ISNUMBER('Karta ewidencji'!C10),ISNUMBER('Karta ewidencji'!D10)),F33+'Karta ewidencji'!C10,0)</f>
        <v>0</v>
      </c>
      <c r="I33" s="50" t="n">
        <f aca="false">IF(H33&gt;0,H33+MOD('Karta ewidencji'!D10-'Karta ewidencji'!C10,1),0)</f>
        <v>0</v>
      </c>
      <c r="J33" s="50" t="n">
        <f aca="false">0</f>
        <v>0</v>
      </c>
      <c r="K33" s="45" t="n">
        <f aca="false">IF(AND(H33&gt;0,J33&gt;0),ROUND((H33-J33)*24,2),0)</f>
        <v>0</v>
      </c>
    </row>
    <row r="34" customFormat="false" ht="15" hidden="false" customHeight="false" outlineLevel="0" collapsed="false">
      <c r="F34" s="49" t="n">
        <f aca="false">IF(ISNUMBER('Karta ewidencji'!A11),'Karta ewidencji'!A11,0)</f>
        <v>46328</v>
      </c>
      <c r="G34" s="12" t="str">
        <f aca="false">IF(F34=0,"",CHOOSE(WEEKDAY(F34),"nd","pon","wt","śr","czw","pt","sob"))</f>
        <v>pon</v>
      </c>
      <c r="H34" s="50" t="n">
        <f aca="false">IF(AND(F34&gt;0,ISNUMBER('Karta ewidencji'!C11),ISNUMBER('Karta ewidencji'!D11)),F34+'Karta ewidencji'!C11,0)</f>
        <v>46328.2916666667</v>
      </c>
      <c r="I34" s="50" t="n">
        <f aca="false">IF(H34&gt;0,H34+MOD('Karta ewidencji'!D11-'Karta ewidencji'!C11,1),0)</f>
        <v>46328.625</v>
      </c>
      <c r="J34" s="50" t="n">
        <f aca="false">IF(F34=0,0,IF(I33&gt;0,I33,J33))</f>
        <v>0</v>
      </c>
      <c r="K34" s="45" t="n">
        <f aca="false">IF(AND(H34&gt;0,J34&gt;0),ROUND((H34-J34)*24,2),0)</f>
        <v>0</v>
      </c>
    </row>
    <row r="35" customFormat="false" ht="15" hidden="false" customHeight="false" outlineLevel="0" collapsed="false">
      <c r="F35" s="49" t="n">
        <f aca="false">IF(ISNUMBER('Karta ewidencji'!A12),'Karta ewidencji'!A12,0)</f>
        <v>46329</v>
      </c>
      <c r="G35" s="12" t="str">
        <f aca="false">IF(F35=0,"",CHOOSE(WEEKDAY(F35),"nd","pon","wt","śr","czw","pt","sob"))</f>
        <v>wt</v>
      </c>
      <c r="H35" s="50" t="n">
        <f aca="false">IF(AND(F35&gt;0,ISNUMBER('Karta ewidencji'!C12),ISNUMBER('Karta ewidencji'!D12)),F35+'Karta ewidencji'!C12,0)</f>
        <v>46329.2916666667</v>
      </c>
      <c r="I35" s="50" t="n">
        <f aca="false">IF(H35&gt;0,H35+MOD('Karta ewidencji'!D12-'Karta ewidencji'!C12,1),0)</f>
        <v>46329.7083333333</v>
      </c>
      <c r="J35" s="50" t="n">
        <f aca="false">IF(F35=0,0,IF(I34&gt;0,I34,J34))</f>
        <v>46328.625</v>
      </c>
      <c r="K35" s="45" t="n">
        <f aca="false">IF(AND(H35&gt;0,J35&gt;0),ROUND((H35-J35)*24,2),0)</f>
        <v>16</v>
      </c>
    </row>
    <row r="36" customFormat="false" ht="15" hidden="false" customHeight="false" outlineLevel="0" collapsed="false">
      <c r="F36" s="49" t="n">
        <f aca="false">IF(ISNUMBER('Karta ewidencji'!A13),'Karta ewidencji'!A13,0)</f>
        <v>46330</v>
      </c>
      <c r="G36" s="12" t="str">
        <f aca="false">IF(F36=0,"",CHOOSE(WEEKDAY(F36),"nd","pon","wt","śr","czw","pt","sob"))</f>
        <v>śr</v>
      </c>
      <c r="H36" s="50" t="n">
        <f aca="false">IF(AND(F36&gt;0,ISNUMBER('Karta ewidencji'!C13),ISNUMBER('Karta ewidencji'!D13)),F36+'Karta ewidencji'!C13,0)</f>
        <v>46330.625</v>
      </c>
      <c r="I36" s="50" t="n">
        <f aca="false">IF(H36&gt;0,H36+MOD('Karta ewidencji'!D13-'Karta ewidencji'!C13,1),0)</f>
        <v>46331</v>
      </c>
      <c r="J36" s="50" t="n">
        <f aca="false">IF(F36=0,0,IF(I35&gt;0,I35,J35))</f>
        <v>46329.7083333333</v>
      </c>
      <c r="K36" s="45" t="n">
        <f aca="false">IF(AND(H36&gt;0,J36&gt;0),ROUND((H36-J36)*24,2),0)</f>
        <v>22</v>
      </c>
    </row>
    <row r="37" customFormat="false" ht="15" hidden="false" customHeight="false" outlineLevel="0" collapsed="false">
      <c r="F37" s="49" t="n">
        <f aca="false">IF(ISNUMBER('Karta ewidencji'!A14),'Karta ewidencji'!A14,0)</f>
        <v>46331</v>
      </c>
      <c r="G37" s="12" t="str">
        <f aca="false">IF(F37=0,"",CHOOSE(WEEKDAY(F37),"nd","pon","wt","śr","czw","pt","sob"))</f>
        <v>czw</v>
      </c>
      <c r="H37" s="50" t="n">
        <f aca="false">IF(AND(F37&gt;0,ISNUMBER('Karta ewidencji'!C14),ISNUMBER('Karta ewidencji'!D14)),F37+'Karta ewidencji'!C14,0)</f>
        <v>0</v>
      </c>
      <c r="I37" s="50" t="n">
        <f aca="false">IF(H37&gt;0,H37+MOD('Karta ewidencji'!D14-'Karta ewidencji'!C14,1),0)</f>
        <v>0</v>
      </c>
      <c r="J37" s="50" t="n">
        <f aca="false">IF(F37=0,0,IF(I36&gt;0,I36,J36))</f>
        <v>46331</v>
      </c>
      <c r="K37" s="45" t="n">
        <f aca="false">IF(AND(H37&gt;0,J37&gt;0),ROUND((H37-J37)*24,2),0)</f>
        <v>0</v>
      </c>
    </row>
    <row r="38" customFormat="false" ht="15" hidden="false" customHeight="false" outlineLevel="0" collapsed="false">
      <c r="F38" s="49" t="n">
        <f aca="false">IF(ISNUMBER('Karta ewidencji'!A15),'Karta ewidencji'!A15,0)</f>
        <v>46332</v>
      </c>
      <c r="G38" s="12" t="str">
        <f aca="false">IF(F38=0,"",CHOOSE(WEEKDAY(F38),"nd","pon","wt","śr","czw","pt","sob"))</f>
        <v>pt</v>
      </c>
      <c r="H38" s="50" t="n">
        <f aca="false">IF(AND(F38&gt;0,ISNUMBER('Karta ewidencji'!C15),ISNUMBER('Karta ewidencji'!D15)),F38+'Karta ewidencji'!C15,0)</f>
        <v>46332.2916666667</v>
      </c>
      <c r="I38" s="50" t="n">
        <f aca="false">IF(H38&gt;0,H38+MOD('Karta ewidencji'!D15-'Karta ewidencji'!C15,1),0)</f>
        <v>46332.625</v>
      </c>
      <c r="J38" s="50" t="n">
        <f aca="false">IF(F38=0,0,IF(I37&gt;0,I37,J37))</f>
        <v>46331</v>
      </c>
      <c r="K38" s="45" t="n">
        <f aca="false">IF(AND(H38&gt;0,J38&gt;0),ROUND((H38-J38)*24,2),0)</f>
        <v>31</v>
      </c>
    </row>
    <row r="39" customFormat="false" ht="15" hidden="false" customHeight="false" outlineLevel="0" collapsed="false">
      <c r="F39" s="49" t="n">
        <f aca="false">IF(ISNUMBER('Karta ewidencji'!A16),'Karta ewidencji'!A16,0)</f>
        <v>46333</v>
      </c>
      <c r="G39" s="12" t="str">
        <f aca="false">IF(F39=0,"",CHOOSE(WEEKDAY(F39),"nd","pon","wt","śr","czw","pt","sob"))</f>
        <v>sob</v>
      </c>
      <c r="H39" s="50" t="n">
        <f aca="false">IF(AND(F39&gt;0,ISNUMBER('Karta ewidencji'!C16),ISNUMBER('Karta ewidencji'!D16)),F39+'Karta ewidencji'!C16,0)</f>
        <v>0</v>
      </c>
      <c r="I39" s="50" t="n">
        <f aca="false">IF(H39&gt;0,H39+MOD('Karta ewidencji'!D16-'Karta ewidencji'!C16,1),0)</f>
        <v>0</v>
      </c>
      <c r="J39" s="50" t="n">
        <f aca="false">IF(F39=0,0,IF(I38&gt;0,I38,J38))</f>
        <v>46332.625</v>
      </c>
      <c r="K39" s="45" t="n">
        <f aca="false">IF(AND(H39&gt;0,J39&gt;0),ROUND((H39-J39)*24,2),0)</f>
        <v>0</v>
      </c>
    </row>
    <row r="40" customFormat="false" ht="15" hidden="false" customHeight="false" outlineLevel="0" collapsed="false">
      <c r="F40" s="49" t="n">
        <f aca="false">IF(ISNUMBER('Karta ewidencji'!A17),'Karta ewidencji'!A17,0)</f>
        <v>46334</v>
      </c>
      <c r="G40" s="12" t="str">
        <f aca="false">IF(F40=0,"",CHOOSE(WEEKDAY(F40),"nd","pon","wt","śr","czw","pt","sob"))</f>
        <v>nd</v>
      </c>
      <c r="H40" s="50" t="n">
        <f aca="false">IF(AND(F40&gt;0,ISNUMBER('Karta ewidencji'!C17),ISNUMBER('Karta ewidencji'!D17)),F40+'Karta ewidencji'!C17,0)</f>
        <v>0</v>
      </c>
      <c r="I40" s="50" t="n">
        <f aca="false">IF(H40&gt;0,H40+MOD('Karta ewidencji'!D17-'Karta ewidencji'!C17,1),0)</f>
        <v>0</v>
      </c>
      <c r="J40" s="50" t="n">
        <f aca="false">IF(F40=0,0,IF(I39&gt;0,I39,J39))</f>
        <v>46332.625</v>
      </c>
      <c r="K40" s="45" t="n">
        <f aca="false">IF(AND(H40&gt;0,J40&gt;0),ROUND((H40-J40)*24,2),0)</f>
        <v>0</v>
      </c>
    </row>
    <row r="41" customFormat="false" ht="15" hidden="false" customHeight="false" outlineLevel="0" collapsed="false">
      <c r="F41" s="49" t="n">
        <f aca="false">IF(ISNUMBER('Karta ewidencji'!A18),'Karta ewidencji'!A18,0)</f>
        <v>46335</v>
      </c>
      <c r="G41" s="12" t="str">
        <f aca="false">IF(F41=0,"",CHOOSE(WEEKDAY(F41),"nd","pon","wt","śr","czw","pt","sob"))</f>
        <v>pon</v>
      </c>
      <c r="H41" s="50" t="n">
        <f aca="false">IF(AND(F41&gt;0,ISNUMBER('Karta ewidencji'!C18),ISNUMBER('Karta ewidencji'!D18)),F41+'Karta ewidencji'!C18,0)</f>
        <v>46335.2916666667</v>
      </c>
      <c r="I41" s="50" t="n">
        <f aca="false">IF(H41&gt;0,H41+MOD('Karta ewidencji'!D18-'Karta ewidencji'!C18,1),0)</f>
        <v>46335.625</v>
      </c>
      <c r="J41" s="50" t="n">
        <f aca="false">IF(F41=0,0,IF(I40&gt;0,I40,J40))</f>
        <v>46332.625</v>
      </c>
      <c r="K41" s="45" t="n">
        <f aca="false">IF(AND(H41&gt;0,J41&gt;0),ROUND((H41-J41)*24,2),0)</f>
        <v>64</v>
      </c>
    </row>
    <row r="42" customFormat="false" ht="15" hidden="false" customHeight="false" outlineLevel="0" collapsed="false">
      <c r="F42" s="49" t="n">
        <f aca="false">IF(ISNUMBER('Karta ewidencji'!A19),'Karta ewidencji'!A19,0)</f>
        <v>46336</v>
      </c>
      <c r="G42" s="12" t="str">
        <f aca="false">IF(F42=0,"",CHOOSE(WEEKDAY(F42),"nd","pon","wt","śr","czw","pt","sob"))</f>
        <v>wt</v>
      </c>
      <c r="H42" s="50" t="n">
        <f aca="false">IF(AND(F42&gt;0,ISNUMBER('Karta ewidencji'!C19),ISNUMBER('Karta ewidencji'!D19)),F42+'Karta ewidencji'!C19,0)</f>
        <v>46336.2916666667</v>
      </c>
      <c r="I42" s="50" t="n">
        <f aca="false">IF(H42&gt;0,H42+MOD('Karta ewidencji'!D19-'Karta ewidencji'!C19,1),0)</f>
        <v>46336.625</v>
      </c>
      <c r="J42" s="50" t="n">
        <f aca="false">IF(F42=0,0,IF(I41&gt;0,I41,J41))</f>
        <v>46335.625</v>
      </c>
      <c r="K42" s="45" t="n">
        <f aca="false">IF(AND(H42&gt;0,J42&gt;0),ROUND((H42-J42)*24,2),0)</f>
        <v>16</v>
      </c>
    </row>
    <row r="43" customFormat="false" ht="15" hidden="false" customHeight="false" outlineLevel="0" collapsed="false">
      <c r="F43" s="49" t="n">
        <f aca="false">IF(ISNUMBER('Karta ewidencji'!A20),'Karta ewidencji'!A20,0)</f>
        <v>46337</v>
      </c>
      <c r="G43" s="12" t="str">
        <f aca="false">IF(F43=0,"",CHOOSE(WEEKDAY(F43),"nd","pon","wt","śr","czw","pt","sob"))</f>
        <v>śr</v>
      </c>
      <c r="H43" s="50" t="n">
        <f aca="false">IF(AND(F43&gt;0,ISNUMBER('Karta ewidencji'!C20),ISNUMBER('Karta ewidencji'!D20)),F43+'Karta ewidencji'!C20,0)</f>
        <v>0</v>
      </c>
      <c r="I43" s="50" t="n">
        <f aca="false">IF(H43&gt;0,H43+MOD('Karta ewidencji'!D20-'Karta ewidencji'!C20,1),0)</f>
        <v>0</v>
      </c>
      <c r="J43" s="50" t="n">
        <f aca="false">IF(F43=0,0,IF(I42&gt;0,I42,J42))</f>
        <v>46336.625</v>
      </c>
      <c r="K43" s="45" t="n">
        <f aca="false">IF(AND(H43&gt;0,J43&gt;0),ROUND((H43-J43)*24,2),0)</f>
        <v>0</v>
      </c>
    </row>
    <row r="44" customFormat="false" ht="15" hidden="false" customHeight="false" outlineLevel="0" collapsed="false">
      <c r="F44" s="49" t="n">
        <f aca="false">IF(ISNUMBER('Karta ewidencji'!A21),'Karta ewidencji'!A21,0)</f>
        <v>46338</v>
      </c>
      <c r="G44" s="12" t="str">
        <f aca="false">IF(F44=0,"",CHOOSE(WEEKDAY(F44),"nd","pon","wt","śr","czw","pt","sob"))</f>
        <v>czw</v>
      </c>
      <c r="H44" s="50" t="n">
        <f aca="false">IF(AND(F44&gt;0,ISNUMBER('Karta ewidencji'!C21),ISNUMBER('Karta ewidencji'!D21)),F44+'Karta ewidencji'!C21,0)</f>
        <v>46338.2916666667</v>
      </c>
      <c r="I44" s="50" t="n">
        <f aca="false">IF(H44&gt;0,H44+MOD('Karta ewidencji'!D21-'Karta ewidencji'!C21,1),0)</f>
        <v>46338.625</v>
      </c>
      <c r="J44" s="50" t="n">
        <f aca="false">IF(F44=0,0,IF(I43&gt;0,I43,J43))</f>
        <v>46336.625</v>
      </c>
      <c r="K44" s="45" t="n">
        <f aca="false">IF(AND(H44&gt;0,J44&gt;0),ROUND((H44-J44)*24,2),0)</f>
        <v>40</v>
      </c>
    </row>
    <row r="45" customFormat="false" ht="15" hidden="false" customHeight="false" outlineLevel="0" collapsed="false">
      <c r="F45" s="49" t="n">
        <f aca="false">IF(ISNUMBER('Karta ewidencji'!A22),'Karta ewidencji'!A22,0)</f>
        <v>46339</v>
      </c>
      <c r="G45" s="12" t="str">
        <f aca="false">IF(F45=0,"",CHOOSE(WEEKDAY(F45),"nd","pon","wt","śr","czw","pt","sob"))</f>
        <v>pt</v>
      </c>
      <c r="H45" s="50" t="n">
        <f aca="false">IF(AND(F45&gt;0,ISNUMBER('Karta ewidencji'!C22),ISNUMBER('Karta ewidencji'!D22)),F45+'Karta ewidencji'!C22,0)</f>
        <v>46339.2916666667</v>
      </c>
      <c r="I45" s="50" t="n">
        <f aca="false">IF(H45&gt;0,H45+MOD('Karta ewidencji'!D22-'Karta ewidencji'!C22,1),0)</f>
        <v>46339.625</v>
      </c>
      <c r="J45" s="50" t="n">
        <f aca="false">IF(F45=0,0,IF(I44&gt;0,I44,J44))</f>
        <v>46338.625</v>
      </c>
      <c r="K45" s="45" t="n">
        <f aca="false">IF(AND(H45&gt;0,J45&gt;0),ROUND((H45-J45)*24,2),0)</f>
        <v>16</v>
      </c>
    </row>
    <row r="46" customFormat="false" ht="15" hidden="false" customHeight="false" outlineLevel="0" collapsed="false">
      <c r="F46" s="49" t="n">
        <f aca="false">IF(ISNUMBER('Karta ewidencji'!A23),'Karta ewidencji'!A23,0)</f>
        <v>46340</v>
      </c>
      <c r="G46" s="12" t="str">
        <f aca="false">IF(F46=0,"",CHOOSE(WEEKDAY(F46),"nd","pon","wt","śr","czw","pt","sob"))</f>
        <v>sob</v>
      </c>
      <c r="H46" s="50" t="n">
        <f aca="false">IF(AND(F46&gt;0,ISNUMBER('Karta ewidencji'!C23),ISNUMBER('Karta ewidencji'!D23)),F46+'Karta ewidencji'!C23,0)</f>
        <v>0</v>
      </c>
      <c r="I46" s="50" t="n">
        <f aca="false">IF(H46&gt;0,H46+MOD('Karta ewidencji'!D23-'Karta ewidencji'!C23,1),0)</f>
        <v>0</v>
      </c>
      <c r="J46" s="50" t="n">
        <f aca="false">IF(F46=0,0,IF(I45&gt;0,I45,J45))</f>
        <v>46339.625</v>
      </c>
      <c r="K46" s="45" t="n">
        <f aca="false">IF(AND(H46&gt;0,J46&gt;0),ROUND((H46-J46)*24,2),0)</f>
        <v>0</v>
      </c>
    </row>
    <row r="47" customFormat="false" ht="15" hidden="false" customHeight="false" outlineLevel="0" collapsed="false">
      <c r="F47" s="49" t="n">
        <f aca="false">IF(ISNUMBER('Karta ewidencji'!A24),'Karta ewidencji'!A24,0)</f>
        <v>46341</v>
      </c>
      <c r="G47" s="12" t="str">
        <f aca="false">IF(F47=0,"",CHOOSE(WEEKDAY(F47),"nd","pon","wt","śr","czw","pt","sob"))</f>
        <v>nd</v>
      </c>
      <c r="H47" s="50" t="n">
        <f aca="false">IF(AND(F47&gt;0,ISNUMBER('Karta ewidencji'!C24),ISNUMBER('Karta ewidencji'!D24)),F47+'Karta ewidencji'!C24,0)</f>
        <v>0</v>
      </c>
      <c r="I47" s="50" t="n">
        <f aca="false">IF(H47&gt;0,H47+MOD('Karta ewidencji'!D24-'Karta ewidencji'!C24,1),0)</f>
        <v>0</v>
      </c>
      <c r="J47" s="50" t="n">
        <f aca="false">IF(F47=0,0,IF(I46&gt;0,I46,J46))</f>
        <v>46339.625</v>
      </c>
      <c r="K47" s="45" t="n">
        <f aca="false">IF(AND(H47&gt;0,J47&gt;0),ROUND((H47-J47)*24,2),0)</f>
        <v>0</v>
      </c>
    </row>
    <row r="48" customFormat="false" ht="15" hidden="false" customHeight="false" outlineLevel="0" collapsed="false">
      <c r="F48" s="49" t="n">
        <f aca="false">IF(ISNUMBER('Karta ewidencji'!A25),'Karta ewidencji'!A25,0)</f>
        <v>46342</v>
      </c>
      <c r="G48" s="12" t="str">
        <f aca="false">IF(F48=0,"",CHOOSE(WEEKDAY(F48),"nd","pon","wt","śr","czw","pt","sob"))</f>
        <v>pon</v>
      </c>
      <c r="H48" s="50" t="n">
        <f aca="false">IF(AND(F48&gt;0,ISNUMBER('Karta ewidencji'!C25),ISNUMBER('Karta ewidencji'!D25)),F48+'Karta ewidencji'!C25,0)</f>
        <v>46342.625</v>
      </c>
      <c r="I48" s="50" t="n">
        <f aca="false">IF(H48&gt;0,H48+MOD('Karta ewidencji'!D25-'Karta ewidencji'!C25,1),0)</f>
        <v>46342.9583333333</v>
      </c>
      <c r="J48" s="50" t="n">
        <f aca="false">IF(F48=0,0,IF(I47&gt;0,I47,J47))</f>
        <v>46339.625</v>
      </c>
      <c r="K48" s="45" t="n">
        <f aca="false">IF(AND(H48&gt;0,J48&gt;0),ROUND((H48-J48)*24,2),0)</f>
        <v>72</v>
      </c>
    </row>
    <row r="49" customFormat="false" ht="15" hidden="false" customHeight="false" outlineLevel="0" collapsed="false">
      <c r="F49" s="49" t="n">
        <f aca="false">IF(ISNUMBER('Karta ewidencji'!A26),'Karta ewidencji'!A26,0)</f>
        <v>46343</v>
      </c>
      <c r="G49" s="12" t="str">
        <f aca="false">IF(F49=0,"",CHOOSE(WEEKDAY(F49),"nd","pon","wt","śr","czw","pt","sob"))</f>
        <v>wt</v>
      </c>
      <c r="H49" s="50" t="n">
        <f aca="false">IF(AND(F49&gt;0,ISNUMBER('Karta ewidencji'!C26),ISNUMBER('Karta ewidencji'!D26)),F49+'Karta ewidencji'!C26,0)</f>
        <v>46343.625</v>
      </c>
      <c r="I49" s="50" t="n">
        <f aca="false">IF(H49&gt;0,H49+MOD('Karta ewidencji'!D26-'Karta ewidencji'!C26,1),0)</f>
        <v>46343.9583333333</v>
      </c>
      <c r="J49" s="50" t="n">
        <f aca="false">IF(F49=0,0,IF(I48&gt;0,I48,J48))</f>
        <v>46342.9583333333</v>
      </c>
      <c r="K49" s="45" t="n">
        <f aca="false">IF(AND(H49&gt;0,J49&gt;0),ROUND((H49-J49)*24,2),0)</f>
        <v>16</v>
      </c>
    </row>
    <row r="50" customFormat="false" ht="15" hidden="false" customHeight="false" outlineLevel="0" collapsed="false">
      <c r="F50" s="49" t="n">
        <f aca="false">IF(ISNUMBER('Karta ewidencji'!A27),'Karta ewidencji'!A27,0)</f>
        <v>46344</v>
      </c>
      <c r="G50" s="12" t="str">
        <f aca="false">IF(F50=0,"",CHOOSE(WEEKDAY(F50),"nd","pon","wt","śr","czw","pt","sob"))</f>
        <v>śr</v>
      </c>
      <c r="H50" s="50" t="n">
        <f aca="false">IF(AND(F50&gt;0,ISNUMBER('Karta ewidencji'!C27),ISNUMBER('Karta ewidencji'!D27)),F50+'Karta ewidencji'!C27,0)</f>
        <v>46344.625</v>
      </c>
      <c r="I50" s="50" t="n">
        <f aca="false">IF(H50&gt;0,H50+MOD('Karta ewidencji'!D27-'Karta ewidencji'!C27,1),0)</f>
        <v>46344.9583333333</v>
      </c>
      <c r="J50" s="50" t="n">
        <f aca="false">IF(F50=0,0,IF(I49&gt;0,I49,J49))</f>
        <v>46343.9583333333</v>
      </c>
      <c r="K50" s="45" t="n">
        <f aca="false">IF(AND(H50&gt;0,J50&gt;0),ROUND((H50-J50)*24,2),0)</f>
        <v>16</v>
      </c>
    </row>
    <row r="51" customFormat="false" ht="15" hidden="false" customHeight="false" outlineLevel="0" collapsed="false">
      <c r="F51" s="49" t="n">
        <f aca="false">IF(ISNUMBER('Karta ewidencji'!A28),'Karta ewidencji'!A28,0)</f>
        <v>46345</v>
      </c>
      <c r="G51" s="12" t="str">
        <f aca="false">IF(F51=0,"",CHOOSE(WEEKDAY(F51),"nd","pon","wt","śr","czw","pt","sob"))</f>
        <v>czw</v>
      </c>
      <c r="H51" s="50" t="n">
        <f aca="false">IF(AND(F51&gt;0,ISNUMBER('Karta ewidencji'!C28),ISNUMBER('Karta ewidencji'!D28)),F51+'Karta ewidencji'!C28,0)</f>
        <v>46345.625</v>
      </c>
      <c r="I51" s="50" t="n">
        <f aca="false">IF(H51&gt;0,H51+MOD('Karta ewidencji'!D28-'Karta ewidencji'!C28,1),0)</f>
        <v>46345.9583333333</v>
      </c>
      <c r="J51" s="50" t="n">
        <f aca="false">IF(F51=0,0,IF(I50&gt;0,I50,J50))</f>
        <v>46344.9583333333</v>
      </c>
      <c r="K51" s="45" t="n">
        <f aca="false">IF(AND(H51&gt;0,J51&gt;0),ROUND((H51-J51)*24,2),0)</f>
        <v>16</v>
      </c>
    </row>
    <row r="52" customFormat="false" ht="15" hidden="false" customHeight="false" outlineLevel="0" collapsed="false">
      <c r="F52" s="49" t="n">
        <f aca="false">IF(ISNUMBER('Karta ewidencji'!A29),'Karta ewidencji'!A29,0)</f>
        <v>46346</v>
      </c>
      <c r="G52" s="12" t="str">
        <f aca="false">IF(F52=0,"",CHOOSE(WEEKDAY(F52),"nd","pon","wt","śr","czw","pt","sob"))</f>
        <v>pt</v>
      </c>
      <c r="H52" s="50" t="n">
        <f aca="false">IF(AND(F52&gt;0,ISNUMBER('Karta ewidencji'!C29),ISNUMBER('Karta ewidencji'!D29)),F52+'Karta ewidencji'!C29,0)</f>
        <v>46346.625</v>
      </c>
      <c r="I52" s="50" t="n">
        <f aca="false">IF(H52&gt;0,H52+MOD('Karta ewidencji'!D29-'Karta ewidencji'!C29,1),0)</f>
        <v>46346.9583333333</v>
      </c>
      <c r="J52" s="50" t="n">
        <f aca="false">IF(F52=0,0,IF(I51&gt;0,I51,J51))</f>
        <v>46345.9583333333</v>
      </c>
      <c r="K52" s="45" t="n">
        <f aca="false">IF(AND(H52&gt;0,J52&gt;0),ROUND((H52-J52)*24,2),0)</f>
        <v>16</v>
      </c>
    </row>
    <row r="53" customFormat="false" ht="15" hidden="false" customHeight="false" outlineLevel="0" collapsed="false">
      <c r="F53" s="49" t="n">
        <f aca="false">IF(ISNUMBER('Karta ewidencji'!A30),'Karta ewidencji'!A30,0)</f>
        <v>46347</v>
      </c>
      <c r="G53" s="12" t="str">
        <f aca="false">IF(F53=0,"",CHOOSE(WEEKDAY(F53),"nd","pon","wt","śr","czw","pt","sob"))</f>
        <v>sob</v>
      </c>
      <c r="H53" s="50" t="n">
        <f aca="false">IF(AND(F53&gt;0,ISNUMBER('Karta ewidencji'!C30),ISNUMBER('Karta ewidencji'!D30)),F53+'Karta ewidencji'!C30,0)</f>
        <v>0</v>
      </c>
      <c r="I53" s="50" t="n">
        <f aca="false">IF(H53&gt;0,H53+MOD('Karta ewidencji'!D30-'Karta ewidencji'!C30,1),0)</f>
        <v>0</v>
      </c>
      <c r="J53" s="50" t="n">
        <f aca="false">IF(F53=0,0,IF(I52&gt;0,I52,J52))</f>
        <v>46346.9583333333</v>
      </c>
      <c r="K53" s="45" t="n">
        <f aca="false">IF(AND(H53&gt;0,J53&gt;0),ROUND((H53-J53)*24,2),0)</f>
        <v>0</v>
      </c>
    </row>
    <row r="54" customFormat="false" ht="15" hidden="false" customHeight="false" outlineLevel="0" collapsed="false">
      <c r="F54" s="49" t="n">
        <f aca="false">IF(ISNUMBER('Karta ewidencji'!A31),'Karta ewidencji'!A31,0)</f>
        <v>46348</v>
      </c>
      <c r="G54" s="12" t="str">
        <f aca="false">IF(F54=0,"",CHOOSE(WEEKDAY(F54),"nd","pon","wt","śr","czw","pt","sob"))</f>
        <v>nd</v>
      </c>
      <c r="H54" s="50" t="n">
        <f aca="false">IF(AND(F54&gt;0,ISNUMBER('Karta ewidencji'!C31),ISNUMBER('Karta ewidencji'!D31)),F54+'Karta ewidencji'!C31,0)</f>
        <v>0</v>
      </c>
      <c r="I54" s="50" t="n">
        <f aca="false">IF(H54&gt;0,H54+MOD('Karta ewidencji'!D31-'Karta ewidencji'!C31,1),0)</f>
        <v>0</v>
      </c>
      <c r="J54" s="50" t="n">
        <f aca="false">IF(F54=0,0,IF(I53&gt;0,I53,J53))</f>
        <v>46346.9583333333</v>
      </c>
      <c r="K54" s="45" t="n">
        <f aca="false">IF(AND(H54&gt;0,J54&gt;0),ROUND((H54-J54)*24,2),0)</f>
        <v>0</v>
      </c>
    </row>
    <row r="55" customFormat="false" ht="15" hidden="false" customHeight="false" outlineLevel="0" collapsed="false">
      <c r="F55" s="49" t="n">
        <f aca="false">IF(ISNUMBER('Karta ewidencji'!A32),'Karta ewidencji'!A32,0)</f>
        <v>46349</v>
      </c>
      <c r="G55" s="12" t="str">
        <f aca="false">IF(F55=0,"",CHOOSE(WEEKDAY(F55),"nd","pon","wt","śr","czw","pt","sob"))</f>
        <v>pon</v>
      </c>
      <c r="H55" s="50" t="n">
        <f aca="false">IF(AND(F55&gt;0,ISNUMBER('Karta ewidencji'!C32),ISNUMBER('Karta ewidencji'!D32)),F55+'Karta ewidencji'!C32,0)</f>
        <v>46349.2916666667</v>
      </c>
      <c r="I55" s="50" t="n">
        <f aca="false">IF(H55&gt;0,H55+MOD('Karta ewidencji'!D32-'Karta ewidencji'!C32,1),0)</f>
        <v>46349.625</v>
      </c>
      <c r="J55" s="50" t="n">
        <f aca="false">IF(F55=0,0,IF(I54&gt;0,I54,J54))</f>
        <v>46346.9583333333</v>
      </c>
      <c r="K55" s="45" t="n">
        <f aca="false">IF(AND(H55&gt;0,J55&gt;0),ROUND((H55-J55)*24,2),0)</f>
        <v>56</v>
      </c>
    </row>
    <row r="56" customFormat="false" ht="15" hidden="false" customHeight="false" outlineLevel="0" collapsed="false">
      <c r="F56" s="49" t="n">
        <f aca="false">IF(ISNUMBER('Karta ewidencji'!A33),'Karta ewidencji'!A33,0)</f>
        <v>46350</v>
      </c>
      <c r="G56" s="12" t="str">
        <f aca="false">IF(F56=0,"",CHOOSE(WEEKDAY(F56),"nd","pon","wt","śr","czw","pt","sob"))</f>
        <v>wt</v>
      </c>
      <c r="H56" s="50" t="n">
        <f aca="false">IF(AND(F56&gt;0,ISNUMBER('Karta ewidencji'!C33),ISNUMBER('Karta ewidencji'!D33)),F56+'Karta ewidencji'!C33,0)</f>
        <v>46350.2916666667</v>
      </c>
      <c r="I56" s="50" t="n">
        <f aca="false">IF(H56&gt;0,H56+MOD('Karta ewidencji'!D33-'Karta ewidencji'!C33,1),0)</f>
        <v>46350.625</v>
      </c>
      <c r="J56" s="50" t="n">
        <f aca="false">IF(F56=0,0,IF(I55&gt;0,I55,J55))</f>
        <v>46349.625</v>
      </c>
      <c r="K56" s="45" t="n">
        <f aca="false">IF(AND(H56&gt;0,J56&gt;0),ROUND((H56-J56)*24,2),0)</f>
        <v>16</v>
      </c>
    </row>
    <row r="57" customFormat="false" ht="15" hidden="false" customHeight="false" outlineLevel="0" collapsed="false">
      <c r="F57" s="49" t="n">
        <f aca="false">IF(ISNUMBER('Karta ewidencji'!A34),'Karta ewidencji'!A34,0)</f>
        <v>46351</v>
      </c>
      <c r="G57" s="12" t="str">
        <f aca="false">IF(F57=0,"",CHOOSE(WEEKDAY(F57),"nd","pon","wt","śr","czw","pt","sob"))</f>
        <v>śr</v>
      </c>
      <c r="H57" s="50" t="n">
        <f aca="false">IF(AND(F57&gt;0,ISNUMBER('Karta ewidencji'!C34),ISNUMBER('Karta ewidencji'!D34)),F57+'Karta ewidencji'!C34,0)</f>
        <v>46351.2916666667</v>
      </c>
      <c r="I57" s="50" t="n">
        <f aca="false">IF(H57&gt;0,H57+MOD('Karta ewidencji'!D34-'Karta ewidencji'!C34,1),0)</f>
        <v>46351.625</v>
      </c>
      <c r="J57" s="50" t="n">
        <f aca="false">IF(F57=0,0,IF(I56&gt;0,I56,J56))</f>
        <v>46350.625</v>
      </c>
      <c r="K57" s="45" t="n">
        <f aca="false">IF(AND(H57&gt;0,J57&gt;0),ROUND((H57-J57)*24,2),0)</f>
        <v>16</v>
      </c>
    </row>
    <row r="58" customFormat="false" ht="15" hidden="false" customHeight="false" outlineLevel="0" collapsed="false">
      <c r="F58" s="49" t="n">
        <f aca="false">IF(ISNUMBER('Karta ewidencji'!A35),'Karta ewidencji'!A35,0)</f>
        <v>46352</v>
      </c>
      <c r="G58" s="12" t="str">
        <f aca="false">IF(F58=0,"",CHOOSE(WEEKDAY(F58),"nd","pon","wt","śr","czw","pt","sob"))</f>
        <v>czw</v>
      </c>
      <c r="H58" s="50" t="n">
        <f aca="false">IF(AND(F58&gt;0,ISNUMBER('Karta ewidencji'!C35),ISNUMBER('Karta ewidencji'!D35)),F58+'Karta ewidencji'!C35,0)</f>
        <v>46352.2916666667</v>
      </c>
      <c r="I58" s="50" t="n">
        <f aca="false">IF(H58&gt;0,H58+MOD('Karta ewidencji'!D35-'Karta ewidencji'!C35,1),0)</f>
        <v>46352.625</v>
      </c>
      <c r="J58" s="50" t="n">
        <f aca="false">IF(F58=0,0,IF(I57&gt;0,I57,J57))</f>
        <v>46351.625</v>
      </c>
      <c r="K58" s="45" t="n">
        <f aca="false">IF(AND(H58&gt;0,J58&gt;0),ROUND((H58-J58)*24,2),0)</f>
        <v>16</v>
      </c>
    </row>
    <row r="59" customFormat="false" ht="15" hidden="false" customHeight="false" outlineLevel="0" collapsed="false">
      <c r="F59" s="49" t="n">
        <f aca="false">IF(ISNUMBER('Karta ewidencji'!A36),'Karta ewidencji'!A36,0)</f>
        <v>46353</v>
      </c>
      <c r="G59" s="12" t="str">
        <f aca="false">IF(F59=0,"",CHOOSE(WEEKDAY(F59),"nd","pon","wt","śr","czw","pt","sob"))</f>
        <v>pt</v>
      </c>
      <c r="H59" s="50" t="n">
        <f aca="false">IF(AND(F59&gt;0,ISNUMBER('Karta ewidencji'!C36),ISNUMBER('Karta ewidencji'!D36)),F59+'Karta ewidencji'!C36,0)</f>
        <v>46353.2916666667</v>
      </c>
      <c r="I59" s="50" t="n">
        <f aca="false">IF(H59&gt;0,H59+MOD('Karta ewidencji'!D36-'Karta ewidencji'!C36,1),0)</f>
        <v>46353.625</v>
      </c>
      <c r="J59" s="50" t="n">
        <f aca="false">IF(F59=0,0,IF(I58&gt;0,I58,J58))</f>
        <v>46352.625</v>
      </c>
      <c r="K59" s="45" t="n">
        <f aca="false">IF(AND(H59&gt;0,J59&gt;0),ROUND((H59-J59)*24,2),0)</f>
        <v>16</v>
      </c>
    </row>
    <row r="60" customFormat="false" ht="15" hidden="false" customHeight="false" outlineLevel="0" collapsed="false">
      <c r="F60" s="49" t="n">
        <f aca="false">IF(ISNUMBER('Karta ewidencji'!A37),'Karta ewidencji'!A37,0)</f>
        <v>46354</v>
      </c>
      <c r="G60" s="12" t="str">
        <f aca="false">IF(F60=0,"",CHOOSE(WEEKDAY(F60),"nd","pon","wt","śr","czw","pt","sob"))</f>
        <v>sob</v>
      </c>
      <c r="H60" s="50" t="n">
        <f aca="false">IF(AND(F60&gt;0,ISNUMBER('Karta ewidencji'!C37),ISNUMBER('Karta ewidencji'!D37)),F60+'Karta ewidencji'!C37,0)</f>
        <v>0</v>
      </c>
      <c r="I60" s="50" t="n">
        <f aca="false">IF(H60&gt;0,H60+MOD('Karta ewidencji'!D37-'Karta ewidencji'!C37,1),0)</f>
        <v>0</v>
      </c>
      <c r="J60" s="50" t="n">
        <f aca="false">IF(F60=0,0,IF(I59&gt;0,I59,J59))</f>
        <v>46353.625</v>
      </c>
      <c r="K60" s="45" t="n">
        <f aca="false">IF(AND(H60&gt;0,J60&gt;0),ROUND((H60-J60)*24,2),0)</f>
        <v>0</v>
      </c>
    </row>
    <row r="61" customFormat="false" ht="15" hidden="false" customHeight="false" outlineLevel="0" collapsed="false">
      <c r="F61" s="49" t="n">
        <f aca="false">IF(ISNUMBER('Karta ewidencji'!A38),'Karta ewidencji'!A38,0)</f>
        <v>46355</v>
      </c>
      <c r="G61" s="12" t="str">
        <f aca="false">IF(F61=0,"",CHOOSE(WEEKDAY(F61),"nd","pon","wt","śr","czw","pt","sob"))</f>
        <v>nd</v>
      </c>
      <c r="H61" s="50" t="n">
        <f aca="false">IF(AND(F61&gt;0,ISNUMBER('Karta ewidencji'!C38),ISNUMBER('Karta ewidencji'!D38)),F61+'Karta ewidencji'!C38,0)</f>
        <v>0</v>
      </c>
      <c r="I61" s="50" t="n">
        <f aca="false">IF(H61&gt;0,H61+MOD('Karta ewidencji'!D38-'Karta ewidencji'!C38,1),0)</f>
        <v>0</v>
      </c>
      <c r="J61" s="50" t="n">
        <f aca="false">IF(F61=0,0,IF(I60&gt;0,I60,J60))</f>
        <v>46353.625</v>
      </c>
      <c r="K61" s="45" t="n">
        <f aca="false">IF(AND(H61&gt;0,J61&gt;0),ROUND((H61-J61)*24,2),0)</f>
        <v>0</v>
      </c>
    </row>
    <row r="62" customFormat="false" ht="15" hidden="false" customHeight="false" outlineLevel="0" collapsed="false">
      <c r="F62" s="49" t="n">
        <f aca="false">IF(ISNUMBER('Karta ewidencji'!A39),'Karta ewidencji'!A39,0)</f>
        <v>46356</v>
      </c>
      <c r="G62" s="12" t="str">
        <f aca="false">IF(F62=0,"",CHOOSE(WEEKDAY(F62),"nd","pon","wt","śr","czw","pt","sob"))</f>
        <v>pon</v>
      </c>
      <c r="H62" s="50" t="n">
        <f aca="false">IF(AND(F62&gt;0,ISNUMBER('Karta ewidencji'!C39),ISNUMBER('Karta ewidencji'!D39)),F62+'Karta ewidencji'!C39,0)</f>
        <v>46356.2916666667</v>
      </c>
      <c r="I62" s="50" t="n">
        <f aca="false">IF(H62&gt;0,H62+MOD('Karta ewidencji'!D39-'Karta ewidencji'!C39,1),0)</f>
        <v>46356.625</v>
      </c>
      <c r="J62" s="50" t="n">
        <f aca="false">IF(F62=0,0,IF(I61&gt;0,I61,J61))</f>
        <v>46353.625</v>
      </c>
      <c r="K62" s="45" t="n">
        <f aca="false">IF(AND(H62&gt;0,J62&gt;0),ROUND((H62-J62)*24,2),0)</f>
        <v>64</v>
      </c>
    </row>
    <row r="63" customFormat="false" ht="15" hidden="false" customHeight="false" outlineLevel="0" collapsed="false">
      <c r="F63" s="49" t="n">
        <f aca="false">IF(ISNUMBER('Karta ewidencji'!A40),'Karta ewidencji'!A40,0)</f>
        <v>0</v>
      </c>
      <c r="G63" s="12" t="str">
        <f aca="false">IF(F63=0,"",CHOOSE(WEEKDAY(F63),"nd","pon","wt","śr","czw","pt","sob"))</f>
        <v/>
      </c>
      <c r="H63" s="50" t="n">
        <f aca="false">IF(AND(F63&gt;0,ISNUMBER('Karta ewidencji'!C40),ISNUMBER('Karta ewidencji'!D40)),F63+'Karta ewidencji'!C40,0)</f>
        <v>0</v>
      </c>
      <c r="I63" s="50" t="n">
        <f aca="false">IF(H63&gt;0,H63+MOD('Karta ewidencji'!D40-'Karta ewidencji'!C40,1),0)</f>
        <v>0</v>
      </c>
      <c r="J63" s="50" t="n">
        <f aca="false">IF(F63=0,0,IF(I62&gt;0,I62,J62))</f>
        <v>0</v>
      </c>
      <c r="K63" s="45" t="n">
        <f aca="false">IF(AND(H63&gt;0,J63&gt;0),ROUND((H63-J63)*24,2),0)</f>
        <v>0</v>
      </c>
    </row>
    <row r="65" customFormat="false" ht="15" hidden="false" customHeight="false" outlineLevel="0" collapsed="false">
      <c r="F65" s="6" t="s">
        <v>190</v>
      </c>
    </row>
  </sheetData>
  <sheetProtection sheet="true"/>
  <mergeCells count="11"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conditionalFormatting sqref="K33:K63">
    <cfRule type="expression" priority="2" aboveAverage="0" equalAverage="0" bottom="0" percent="0" rank="0" text="" dxfId="2">
      <formula>AND(K33&gt;0,K33&lt;11)</formula>
    </cfRule>
  </conditionalFormatting>
  <conditionalFormatting sqref="M5:M10">
    <cfRule type="expression" priority="3" aboveAverage="0" equalAverage="0" bottom="0" percent="0" rank="0" text="" dxfId="2">
      <formula>M5="&lt; 35 h"</formula>
    </cfRule>
  </conditionalFormatting>
  <conditionalFormatting sqref="D5:D14">
    <cfRule type="expression" priority="4" aboveAverage="0" equalAverage="0" bottom="0" percent="0" rank="0" text="" dxfId="3">
      <formula>LEFT(D5,2)="OK"</formula>
    </cfRule>
    <cfRule type="expression" priority="5" aboveAverage="0" equalAverage="0" bottom="0" percent="0" rank="0" text="" dxfId="2">
      <formula>AND(D5&lt;&gt;"",LEFT(D5,2)&lt;&gt;"OK")</formula>
    </cfRule>
  </conditionalFormatting>
  <conditionalFormatting sqref="D19:D28">
    <cfRule type="expression" priority="6" aboveAverage="0" equalAverage="0" bottom="0" percent="0" rank="0" text="" dxfId="2">
      <formula>D19="Do poprawy"</formula>
    </cfRule>
  </conditionalFormatting>
  <dataValidations count="1">
    <dataValidation allowBlank="true" error="Wybierz status z listy." errorStyle="stop" errorTitle="Status" operator="between" showDropDown="false" showErrorMessage="true" showInputMessage="false" sqref="D19:D28" type="list">
      <formula1>"Do sprawdzenia,Sprawdzone,Do poprawy"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2026-10-27T11:35:01Z</dcterms:created>
  <dc:creator>openpyxl</dc:creator>
  <dc:description/>
  <dc:language>pl-PL</dc:language>
  <cp:lastModifiedBy/>
  <dcterms:modified xsi:type="dcterms:W3CDTF">2026-10-27T11:35:01Z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