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glig registrering" sheetId="1" state="visible" r:id="rId3"/>
    <sheet name="48-timers kontrol" sheetId="2" state="visible" r:id="rId4"/>
    <sheet name="Vejledning" sheetId="3" state="visible" r:id="rId5"/>
  </sheets>
  <definedNames>
    <definedName function="false" hidden="false" localSheetId="1" name="_xlnm.Print_Area" vbProcedure="false">'48-timers kontrol'!$A$1:$G$30</definedName>
    <definedName function="false" hidden="false" localSheetId="0" name="_xlnm.Print_Area" vbProcedure="false">'Daglig registrering'!$A$1:$J$126</definedName>
    <definedName function="false" hidden="false" localSheetId="0" name="_xlnm.Print_Titles" vbProcedure="false">'Daglig registrering'!$5:$5</definedName>
    <definedName function="false" hidden="false" localSheetId="2" name="_xlnm.Print_Area" vbProcedure="false">Vejledning!$A$1:$A$22</definedName>
    <definedName function="false" hidden="false" name="Periodestart" vbProcedure="false">'48-timers kontrol'!$B$3</definedName>
    <definedName function="false" hidden="false" name="TraekPause" vbProcedure="false">'Daglig registrering'!$G$2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<sst xmlns="http://schemas.openxmlformats.org/spreadsheetml/2006/main" count="71" uniqueCount="62">
  <si>
    <t xml:space="preserve">Daglig registrering af arbejdstid (arbejdstidslovens § 4 b)</t>
  </si>
  <si>
    <t xml:space="preserve">Hypotetisk eksempel — orova.vn</t>
  </si>
  <si>
    <t xml:space="preserve">Medarbejder:</t>
  </si>
  <si>
    <t xml:space="preserve">Mette Jensen (eksempel)</t>
  </si>
  <si>
    <t xml:space="preserve">Træk pause fra arbejdstiden?</t>
  </si>
  <si>
    <t xml:space="preserve">Nej</t>
  </si>
  <si>
    <t xml:space="preserve">Følg jeres overenskomst/aftale om, hvorvidt pausen er arbejdstid.</t>
  </si>
  <si>
    <t xml:space="preserve">Medarbejderen skal kunne se egne oplysninger (§ 4 b, stk. 2). Opbevar registreringerne i 5 år efter udløbet af referenceperioden (§ 4 b, stk. 3). Gule celler = indtastning; grå = beregnes automatisk.</t>
  </si>
  <si>
    <t xml:space="preserve">Dato</t>
  </si>
  <si>
    <t xml:space="preserve">Ugedag</t>
  </si>
  <si>
    <t xml:space="preserve">Start</t>
  </si>
  <si>
    <t xml:space="preserve">Slut</t>
  </si>
  <si>
    <t xml:space="preserve">Pause (min)</t>
  </si>
  <si>
    <t xml:space="preserve">Arbejdstid i alt (timer)</t>
  </si>
  <si>
    <t xml:space="preserve">Fravær</t>
  </si>
  <si>
    <t xml:space="preserve">Normtid for fravær (timer)</t>
  </si>
  <si>
    <t xml:space="preserve">Bemærkning</t>
  </si>
  <si>
    <t xml:space="preserve">Uge i perioden</t>
  </si>
  <si>
    <t xml:space="preserve">Leverance til kunde (hypotetisk)</t>
  </si>
  <si>
    <t xml:space="preserve">Ferie</t>
  </si>
  <si>
    <t xml:space="preserve">Sæsontop (hypotetisk)</t>
  </si>
  <si>
    <t xml:space="preserve">Sygdom</t>
  </si>
  <si>
    <t xml:space="preserve">Fri</t>
  </si>
  <si>
    <t xml:space="preserve">Afspadsering (hypotetisk)</t>
  </si>
  <si>
    <t xml:space="preserve">Hypotetisk eksempel — orova.vn. Arbejdstid i alt = slut − start (i timer); pausen trækkes kun fra, hvis G2 = Ja. Normtid for ferie/sygdom tæller med i 48-timers kontrollen; Fri tæller ikke.</t>
  </si>
  <si>
    <t xml:space="preserve">48-timers kontrol: gennemsnitlig ugentlig arbejdstid over 4 måneder (§ 4)</t>
  </si>
  <si>
    <t xml:space="preserve">Referenceperioden starter (mandag):</t>
  </si>
  <si>
    <t xml:space="preserve">Referenceperiode:</t>
  </si>
  <si>
    <t xml:space="preserve">4 måneder (ca. 17 uger)</t>
  </si>
  <si>
    <t xml:space="preserve">Akkumuleret gennemsnit = summen af talte timer ÷ antal uger, der er gået i perioden.</t>
  </si>
  <si>
    <t xml:space="preserve">Seneste registrerede dag:</t>
  </si>
  <si>
    <t xml:space="preserve">Ferie og sygdom tælles med normtid, så de hverken sænker eller hæver gennemsnittet.</t>
  </si>
  <si>
    <t xml:space="preserve">Uge</t>
  </si>
  <si>
    <t xml:space="preserve">Faktiske arbejdstimer</t>
  </si>
  <si>
    <t xml:space="preserve">Normtid for ferie/sygdom</t>
  </si>
  <si>
    <t xml:space="preserve">Talt timeantal</t>
  </si>
  <si>
    <t xml:space="preserve">Akkumuleret gennemsnit pr. uge</t>
  </si>
  <si>
    <t xml:space="preserve">Under 48 timer i snit?</t>
  </si>
  <si>
    <t xml:space="preserve">Ugen starter (mandag)</t>
  </si>
  <si>
    <t xml:space="preserve">I alt / snit</t>
  </si>
  <si>
    <t xml:space="preserve">Enkeltuger med over 48 talte timer:</t>
  </si>
  <si>
    <t xml:space="preserve">Intern advarselsgrænse (valgfri):</t>
  </si>
  <si>
    <t xml:space="preserve">Gennemsnit over grænsen?</t>
  </si>
  <si>
    <t xml:space="preserve">Lyserød række = akkumuleret gennemsnit over 48 timer. Lyserød celle i Talt timeantal = enkeltuge over 48 timer (ikke i sig selv et brud på § 4). Har jeres overenskomst egne regler (§ 1, stk. 2-3), følg dem.</t>
  </si>
  <si>
    <t xml:space="preserve">Vejledning til skabelonen</t>
  </si>
  <si>
    <t xml:space="preserve">Hypotetisk eksempel — orova.vn. Navn, datoer og timer er opdigtede. Ikke juridisk rådgivning.</t>
  </si>
  <si>
    <t xml:space="preserve">Sådan bruger du filen</t>
  </si>
  <si>
    <t xml:space="preserve">1. Skriv referenceperiodens første mandag i '48-timers kontrol' (B3). Datoerne i 'Daglig registrering' følger med.</t>
  </si>
  <si>
    <t xml:space="preserve">2. Skriv medarbejderens navn (B2) og vælg, om pausen skal trækkes fra (G2) – følg jeres overenskomst/aftale.</t>
  </si>
  <si>
    <t xml:space="preserve">3. Registrér start og slut hver arbejdsdag (tt:mm) og evt. pause i minutter. Arbejdstid i alt beregnes selv.</t>
  </si>
  <si>
    <t xml:space="preserve">4. Ved fravær: vælg Ferie, Sygdom eller Fri, og skriv normtiden for dagen ved ferie og sygdom.</t>
  </si>
  <si>
    <t xml:space="preserve">5. '48-timers kontrol' summerer pr. uge og viser det akkumulerede gennemsnit. Lyserød = over 48 timer.</t>
  </si>
  <si>
    <t xml:space="preserve">Hvad loven siger (arbejdstidsloven, lovbekendtgørelse nr. 982 af 12. august 2024)</t>
  </si>
  <si>
    <t xml:space="preserve">• § 4 b: Arbejdsgiveren skal have et objektivt, pålideligt og tilgængeligt system, der måler den daglige arbejdstid for hver lønmodtager.</t>
  </si>
  <si>
    <t xml:space="preserve">• § 4 b, stk. 2: Lønmodtageren skal have adgang til egne oplysninger.</t>
  </si>
  <si>
    <t xml:space="preserve">• § 4 b, stk. 3: Oplysningerne opbevares i 5 år efter udløbet af perioden, der danner grundlag for gennemsnittet.</t>
  </si>
  <si>
    <t xml:space="preserve">• § 4: Den gennemsnitlige ugentlige arbejdstid må over en periode på 4 måneder ikke overstige 48 timer inkl. overarbejde. Ferie og sygeorlov er neutrale i beregningen.</t>
  </si>
  <si>
    <t xml:space="preserve">• § 1, stk. 6: Undtagelse fra §§ 3, 4 og 5 for visse selvtilrettelæggende lønmodtagere – skal fremgå af ansættelseskontrakten.</t>
  </si>
  <si>
    <t xml:space="preserve">• Hviletid: mindst 11 sammenhængende timer inden for hver periode på 24 timer (bekendtgørelse om hvileperiode og fridøgn m.v. § 3).</t>
  </si>
  <si>
    <t xml:space="preserve">Overenskomster kan have egne regler (§ 1, stk. 2-3). Tjek dem, før I bruger beregningen.</t>
  </si>
  <si>
    <t xml:space="preserve">Excel logger ikke selv, hvem der har ændret en celle. Før en log over rettelser med årsag og godkender.</t>
  </si>
  <si>
    <t xml:space="preserve">Arkene er låst uden adgangskode (Gennemse &gt; Fjern arkbeskyttelse), så formlerne ikke overskrives ved en fejl.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</si>
</sst>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hh:mm"/>
    <numFmt numFmtId="167" formatCode="0"/>
    <numFmt numFmtId="168" formatCode="0.00"/>
    <numFmt numFmtId="169" formatCode="&quot;Uge &quot;0"/>
    <numFmt numFmtId="170" formatCode="0.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11"/>
      <color rgb="FF7F7F7F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DDE3EA"/>
        <bgColor rgb="FFD9DDE3"/>
      </patternFill>
    </fill>
    <fill>
      <patternFill patternType="solid">
        <fgColor rgb="FFEAECEF"/>
        <bgColor rgb="FFEEF2F7"/>
      </patternFill>
    </fill>
    <fill>
      <patternFill patternType="solid">
        <fgColor rgb="FFF3F4F6"/>
        <bgColor rgb="FFEEF2F7"/>
      </patternFill>
    </fill>
    <fill>
      <patternFill patternType="solid">
        <fgColor rgb="FFEEF2F7"/>
        <bgColor rgb="FFF3F4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color rgb="FF595959"/>
        <sz val="11"/>
      </font>
      <fill>
        <patternFill>
          <bgColor rgb="FFD9DDE3"/>
        </patternFill>
      </fill>
    </dxf>
    <dxf>
      <font>
        <name val="Calibri"/>
        <charset val="1"/>
        <family val="0"/>
        <b val="1"/>
        <color rgb="FF9C0006"/>
        <sz val="11"/>
      </font>
      <fill>
        <patternFill>
          <bgColor rgb="FFF8D7DA"/>
        </patternFill>
      </fill>
    </dxf>
    <dxf>
      <fill>
        <patternFill>
          <bgColor rgb="FFF8D7DA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3F4F6"/>
      <rgbColor rgb="FFEEF2F7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DDE3EA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4" min="3" style="0" width="8"/>
    <col collapsed="false" customWidth="true" hidden="false" outlineLevel="0" max="5" min="5" style="0" width="9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34"/>
    <col collapsed="false" customWidth="true" hidden="false" outlineLevel="0" max="10" min="10" style="0" width="9"/>
  </cols>
  <sheetData>
    <row r="1" customFormat="false" ht="17.35" hidden="false" customHeight="false" outlineLevel="0" collapsed="false">
      <c r="A1" s="1" t="s">
        <v>0</v>
      </c>
      <c r="H1" s="2" t="s">
        <v>1</v>
      </c>
    </row>
    <row r="2" customFormat="false" ht="31.5" hidden="false" customHeight="true" outlineLevel="0" collapsed="false">
      <c r="A2" s="3" t="s">
        <v>2</v>
      </c>
      <c r="B2" s="4" t="s">
        <v>3</v>
      </c>
      <c r="C2" s="4"/>
      <c r="D2" s="4"/>
      <c r="E2" s="5" t="s">
        <v>4</v>
      </c>
      <c r="F2" s="5"/>
      <c r="G2" s="6" t="s">
        <v>5</v>
      </c>
      <c r="H2" s="7" t="s">
        <v>6</v>
      </c>
      <c r="I2" s="7"/>
      <c r="J2" s="7"/>
    </row>
    <row r="3" customFormat="false" ht="30" hidden="false" customHeight="true" outlineLevel="0" collapsed="false">
      <c r="A3" s="7" t="s">
        <v>7</v>
      </c>
      <c r="B3" s="7"/>
      <c r="C3" s="7"/>
      <c r="D3" s="7"/>
      <c r="E3" s="7"/>
      <c r="F3" s="7"/>
      <c r="G3" s="7"/>
      <c r="H3" s="7"/>
      <c r="I3" s="7"/>
      <c r="J3" s="7"/>
    </row>
    <row r="5" customFormat="false" ht="45.75" hidden="false" customHeight="true" outlineLevel="0" collapsed="false">
      <c r="A5" s="8" t="s">
        <v>8</v>
      </c>
      <c r="B5" s="8" t="s">
        <v>9</v>
      </c>
      <c r="C5" s="9" t="s">
        <v>10</v>
      </c>
      <c r="D5" s="9" t="s">
        <v>11</v>
      </c>
      <c r="E5" s="9" t="s">
        <v>12</v>
      </c>
      <c r="F5" s="8" t="s">
        <v>13</v>
      </c>
      <c r="G5" s="9" t="s">
        <v>14</v>
      </c>
      <c r="H5" s="9" t="s">
        <v>15</v>
      </c>
      <c r="I5" s="9" t="s">
        <v>16</v>
      </c>
      <c r="J5" s="8" t="s">
        <v>17</v>
      </c>
    </row>
    <row r="6" customFormat="false" ht="15" hidden="false" customHeight="false" outlineLevel="0" collapsed="false">
      <c r="A6" s="10" t="n">
        <f aca="false">Periodestart+0</f>
        <v>46237</v>
      </c>
      <c r="B6" s="11" t="str">
        <f aca="false">CHOOSE(WEEKDAY(A6,2),"mandag","tirsdag","onsdag","torsdag","fredag","lørdag","søndag")</f>
        <v>mandag</v>
      </c>
      <c r="C6" s="12" t="n">
        <v>0.333333333333333</v>
      </c>
      <c r="D6" s="12" t="n">
        <v>0.6625</v>
      </c>
      <c r="E6" s="13" t="n">
        <v>30</v>
      </c>
      <c r="F6" s="14" t="n">
        <f aca="false">IF(OR(C6="",D6=""),"",ROUND(MOD(D6-C6,1)*24-IF(TraekPause="Ja",N(E6)/60,0),2))</f>
        <v>7.9</v>
      </c>
      <c r="G6" s="15"/>
      <c r="H6" s="16"/>
      <c r="I6" s="17"/>
      <c r="J6" s="11" t="n">
        <f aca="false">INT((A6-Periodestart)/7)+1</f>
        <v>1</v>
      </c>
    </row>
    <row r="7" customFormat="false" ht="15" hidden="false" customHeight="false" outlineLevel="0" collapsed="false">
      <c r="A7" s="10" t="n">
        <f aca="false">Periodestart+1</f>
        <v>46238</v>
      </c>
      <c r="B7" s="11" t="str">
        <f aca="false">CHOOSE(WEEKDAY(A7,2),"mandag","tirsdag","onsdag","torsdag","fredag","lørdag","søndag")</f>
        <v>tirsdag</v>
      </c>
      <c r="C7" s="12" t="n">
        <v>0.333333333333333</v>
      </c>
      <c r="D7" s="12" t="n">
        <v>0.652083333333333</v>
      </c>
      <c r="E7" s="13" t="n">
        <v>30</v>
      </c>
      <c r="F7" s="14" t="n">
        <f aca="false">IF(OR(C7="",D7=""),"",ROUND(MOD(D7-C7,1)*24-IF(TraekPause="Ja",N(E7)/60,0),2))</f>
        <v>7.65</v>
      </c>
      <c r="G7" s="15"/>
      <c r="H7" s="16"/>
      <c r="I7" s="17"/>
      <c r="J7" s="11" t="n">
        <f aca="false">INT((A7-Periodestart)/7)+1</f>
        <v>1</v>
      </c>
    </row>
    <row r="8" customFormat="false" ht="15" hidden="false" customHeight="false" outlineLevel="0" collapsed="false">
      <c r="A8" s="10" t="n">
        <f aca="false">Periodestart+2</f>
        <v>46239</v>
      </c>
      <c r="B8" s="11" t="str">
        <f aca="false">CHOOSE(WEEKDAY(A8,2),"mandag","tirsdag","onsdag","torsdag","fredag","lørdag","søndag")</f>
        <v>onsdag</v>
      </c>
      <c r="C8" s="12" t="n">
        <v>0.333333333333333</v>
      </c>
      <c r="D8" s="12" t="n">
        <v>0.641666666666667</v>
      </c>
      <c r="E8" s="13" t="n">
        <v>30</v>
      </c>
      <c r="F8" s="14" t="n">
        <f aca="false">IF(OR(C8="",D8=""),"",ROUND(MOD(D8-C8,1)*24-IF(TraekPause="Ja",N(E8)/60,0),2))</f>
        <v>7.4</v>
      </c>
      <c r="G8" s="15"/>
      <c r="H8" s="16"/>
      <c r="I8" s="17"/>
      <c r="J8" s="11" t="n">
        <f aca="false">INT((A8-Periodestart)/7)+1</f>
        <v>1</v>
      </c>
    </row>
    <row r="9" customFormat="false" ht="15" hidden="false" customHeight="false" outlineLevel="0" collapsed="false">
      <c r="A9" s="10" t="n">
        <f aca="false">Periodestart+3</f>
        <v>46240</v>
      </c>
      <c r="B9" s="11" t="str">
        <f aca="false">CHOOSE(WEEKDAY(A9,2),"mandag","tirsdag","onsdag","torsdag","fredag","lørdag","søndag")</f>
        <v>torsdag</v>
      </c>
      <c r="C9" s="12" t="n">
        <v>0.333333333333333</v>
      </c>
      <c r="D9" s="12" t="n">
        <v>0.63125</v>
      </c>
      <c r="E9" s="13" t="n">
        <v>30</v>
      </c>
      <c r="F9" s="14" t="n">
        <f aca="false">IF(OR(C9="",D9=""),"",ROUND(MOD(D9-C9,1)*24-IF(TraekPause="Ja",N(E9)/60,0),2))</f>
        <v>7.15</v>
      </c>
      <c r="G9" s="15"/>
      <c r="H9" s="16"/>
      <c r="I9" s="17"/>
      <c r="J9" s="11" t="n">
        <f aca="false">INT((A9-Periodestart)/7)+1</f>
        <v>1</v>
      </c>
    </row>
    <row r="10" customFormat="false" ht="15" hidden="false" customHeight="false" outlineLevel="0" collapsed="false">
      <c r="A10" s="10" t="n">
        <f aca="false">Periodestart+4</f>
        <v>46241</v>
      </c>
      <c r="B10" s="11" t="str">
        <f aca="false">CHOOSE(WEEKDAY(A10,2),"mandag","tirsdag","onsdag","torsdag","fredag","lørdag","søndag")</f>
        <v>fredag</v>
      </c>
      <c r="C10" s="12" t="n">
        <v>0.333333333333333</v>
      </c>
      <c r="D10" s="12" t="n">
        <v>0.620833333333333</v>
      </c>
      <c r="E10" s="13" t="n">
        <v>30</v>
      </c>
      <c r="F10" s="14" t="n">
        <f aca="false">IF(OR(C10="",D10=""),"",ROUND(MOD(D10-C10,1)*24-IF(TraekPause="Ja",N(E10)/60,0),2))</f>
        <v>6.9</v>
      </c>
      <c r="G10" s="15"/>
      <c r="H10" s="16"/>
      <c r="I10" s="17"/>
      <c r="J10" s="11" t="n">
        <f aca="false">INT((A10-Periodestart)/7)+1</f>
        <v>1</v>
      </c>
    </row>
    <row r="11" customFormat="false" ht="15" hidden="false" customHeight="false" outlineLevel="0" collapsed="false">
      <c r="A11" s="10" t="n">
        <f aca="false">Periodestart+5</f>
        <v>46242</v>
      </c>
      <c r="B11" s="11" t="str">
        <f aca="false">CHOOSE(WEEKDAY(A11,2),"mandag","tirsdag","onsdag","torsdag","fredag","lørdag","søndag")</f>
        <v>lørdag</v>
      </c>
      <c r="C11" s="12"/>
      <c r="D11" s="12"/>
      <c r="E11" s="13"/>
      <c r="F11" s="14" t="str">
        <f aca="false">IF(OR(C11="",D11=""),"",ROUND(MOD(D11-C11,1)*24-IF(TraekPause="Ja",N(E11)/60,0),2))</f>
        <v/>
      </c>
      <c r="G11" s="15"/>
      <c r="H11" s="16"/>
      <c r="I11" s="17"/>
      <c r="J11" s="11" t="n">
        <f aca="false">INT((A11-Periodestart)/7)+1</f>
        <v>1</v>
      </c>
    </row>
    <row r="12" customFormat="false" ht="15" hidden="false" customHeight="false" outlineLevel="0" collapsed="false">
      <c r="A12" s="10" t="n">
        <f aca="false">Periodestart+6</f>
        <v>46243</v>
      </c>
      <c r="B12" s="11" t="str">
        <f aca="false">CHOOSE(WEEKDAY(A12,2),"mandag","tirsdag","onsdag","torsdag","fredag","lørdag","søndag")</f>
        <v>søndag</v>
      </c>
      <c r="C12" s="12"/>
      <c r="D12" s="12"/>
      <c r="E12" s="13"/>
      <c r="F12" s="14" t="str">
        <f aca="false">IF(OR(C12="",D12=""),"",ROUND(MOD(D12-C12,1)*24-IF(TraekPause="Ja",N(E12)/60,0),2))</f>
        <v/>
      </c>
      <c r="G12" s="15"/>
      <c r="H12" s="16"/>
      <c r="I12" s="17"/>
      <c r="J12" s="11" t="n">
        <f aca="false">INT((A12-Periodestart)/7)+1</f>
        <v>1</v>
      </c>
    </row>
    <row r="13" customFormat="false" ht="15" hidden="false" customHeight="false" outlineLevel="0" collapsed="false">
      <c r="A13" s="10" t="n">
        <f aca="false">Periodestart+7</f>
        <v>46244</v>
      </c>
      <c r="B13" s="11" t="str">
        <f aca="false">CHOOSE(WEEKDAY(A13,2),"mandag","tirsdag","onsdag","torsdag","fredag","lørdag","søndag")</f>
        <v>mandag</v>
      </c>
      <c r="C13" s="12" t="n">
        <v>0.333333333333333</v>
      </c>
      <c r="D13" s="12" t="n">
        <v>0.704166666666667</v>
      </c>
      <c r="E13" s="13" t="n">
        <v>30</v>
      </c>
      <c r="F13" s="14" t="n">
        <f aca="false">IF(OR(C13="",D13=""),"",ROUND(MOD(D13-C13,1)*24-IF(TraekPause="Ja",N(E13)/60,0),2))</f>
        <v>8.9</v>
      </c>
      <c r="G13" s="15"/>
      <c r="H13" s="16"/>
      <c r="I13" s="17"/>
      <c r="J13" s="11" t="n">
        <f aca="false">INT((A13-Periodestart)/7)+1</f>
        <v>2</v>
      </c>
    </row>
    <row r="14" customFormat="false" ht="15" hidden="false" customHeight="false" outlineLevel="0" collapsed="false">
      <c r="A14" s="10" t="n">
        <f aca="false">Periodestart+8</f>
        <v>46245</v>
      </c>
      <c r="B14" s="11" t="str">
        <f aca="false">CHOOSE(WEEKDAY(A14,2),"mandag","tirsdag","onsdag","torsdag","fredag","lørdag","søndag")</f>
        <v>tirsdag</v>
      </c>
      <c r="C14" s="12" t="n">
        <v>0.333333333333333</v>
      </c>
      <c r="D14" s="12" t="n">
        <v>0.69375</v>
      </c>
      <c r="E14" s="13" t="n">
        <v>30</v>
      </c>
      <c r="F14" s="14" t="n">
        <f aca="false">IF(OR(C14="",D14=""),"",ROUND(MOD(D14-C14,1)*24-IF(TraekPause="Ja",N(E14)/60,0),2))</f>
        <v>8.65</v>
      </c>
      <c r="G14" s="15"/>
      <c r="H14" s="16"/>
      <c r="I14" s="17"/>
      <c r="J14" s="11" t="n">
        <f aca="false">INT((A14-Periodestart)/7)+1</f>
        <v>2</v>
      </c>
    </row>
    <row r="15" customFormat="false" ht="15" hidden="false" customHeight="false" outlineLevel="0" collapsed="false">
      <c r="A15" s="10" t="n">
        <f aca="false">Periodestart+9</f>
        <v>46246</v>
      </c>
      <c r="B15" s="11" t="str">
        <f aca="false">CHOOSE(WEEKDAY(A15,2),"mandag","tirsdag","onsdag","torsdag","fredag","lørdag","søndag")</f>
        <v>onsdag</v>
      </c>
      <c r="C15" s="12" t="n">
        <v>0.333333333333333</v>
      </c>
      <c r="D15" s="12" t="n">
        <v>0.683333333333333</v>
      </c>
      <c r="E15" s="13" t="n">
        <v>30</v>
      </c>
      <c r="F15" s="14" t="n">
        <f aca="false">IF(OR(C15="",D15=""),"",ROUND(MOD(D15-C15,1)*24-IF(TraekPause="Ja",N(E15)/60,0),2))</f>
        <v>8.4</v>
      </c>
      <c r="G15" s="15"/>
      <c r="H15" s="16"/>
      <c r="I15" s="17"/>
      <c r="J15" s="11" t="n">
        <f aca="false">INT((A15-Periodestart)/7)+1</f>
        <v>2</v>
      </c>
    </row>
    <row r="16" customFormat="false" ht="15" hidden="false" customHeight="false" outlineLevel="0" collapsed="false">
      <c r="A16" s="10" t="n">
        <f aca="false">Periodestart+10</f>
        <v>46247</v>
      </c>
      <c r="B16" s="11" t="str">
        <f aca="false">CHOOSE(WEEKDAY(A16,2),"mandag","tirsdag","onsdag","torsdag","fredag","lørdag","søndag")</f>
        <v>torsdag</v>
      </c>
      <c r="C16" s="12" t="n">
        <v>0.333333333333333</v>
      </c>
      <c r="D16" s="12" t="n">
        <v>0.672916666666667</v>
      </c>
      <c r="E16" s="13" t="n">
        <v>30</v>
      </c>
      <c r="F16" s="14" t="n">
        <f aca="false">IF(OR(C16="",D16=""),"",ROUND(MOD(D16-C16,1)*24-IF(TraekPause="Ja",N(E16)/60,0),2))</f>
        <v>8.15</v>
      </c>
      <c r="G16" s="15"/>
      <c r="H16" s="16"/>
      <c r="I16" s="17"/>
      <c r="J16" s="11" t="n">
        <f aca="false">INT((A16-Periodestart)/7)+1</f>
        <v>2</v>
      </c>
    </row>
    <row r="17" customFormat="false" ht="15" hidden="false" customHeight="false" outlineLevel="0" collapsed="false">
      <c r="A17" s="10" t="n">
        <f aca="false">Periodestart+11</f>
        <v>46248</v>
      </c>
      <c r="B17" s="11" t="str">
        <f aca="false">CHOOSE(WEEKDAY(A17,2),"mandag","tirsdag","onsdag","torsdag","fredag","lørdag","søndag")</f>
        <v>fredag</v>
      </c>
      <c r="C17" s="12" t="n">
        <v>0.333333333333333</v>
      </c>
      <c r="D17" s="12" t="n">
        <v>0.6625</v>
      </c>
      <c r="E17" s="13" t="n">
        <v>30</v>
      </c>
      <c r="F17" s="14" t="n">
        <f aca="false">IF(OR(C17="",D17=""),"",ROUND(MOD(D17-C17,1)*24-IF(TraekPause="Ja",N(E17)/60,0),2))</f>
        <v>7.9</v>
      </c>
      <c r="G17" s="15"/>
      <c r="H17" s="16"/>
      <c r="I17" s="17"/>
      <c r="J17" s="11" t="n">
        <f aca="false">INT((A17-Periodestart)/7)+1</f>
        <v>2</v>
      </c>
    </row>
    <row r="18" customFormat="false" ht="15" hidden="false" customHeight="false" outlineLevel="0" collapsed="false">
      <c r="A18" s="10" t="n">
        <f aca="false">Periodestart+12</f>
        <v>46249</v>
      </c>
      <c r="B18" s="11" t="str">
        <f aca="false">CHOOSE(WEEKDAY(A18,2),"mandag","tirsdag","onsdag","torsdag","fredag","lørdag","søndag")</f>
        <v>lørdag</v>
      </c>
      <c r="C18" s="12"/>
      <c r="D18" s="12"/>
      <c r="E18" s="13"/>
      <c r="F18" s="14" t="str">
        <f aca="false">IF(OR(C18="",D18=""),"",ROUND(MOD(D18-C18,1)*24-IF(TraekPause="Ja",N(E18)/60,0),2))</f>
        <v/>
      </c>
      <c r="G18" s="15"/>
      <c r="H18" s="16"/>
      <c r="I18" s="17"/>
      <c r="J18" s="11" t="n">
        <f aca="false">INT((A18-Periodestart)/7)+1</f>
        <v>2</v>
      </c>
    </row>
    <row r="19" customFormat="false" ht="15" hidden="false" customHeight="false" outlineLevel="0" collapsed="false">
      <c r="A19" s="10" t="n">
        <f aca="false">Periodestart+13</f>
        <v>46250</v>
      </c>
      <c r="B19" s="11" t="str">
        <f aca="false">CHOOSE(WEEKDAY(A19,2),"mandag","tirsdag","onsdag","torsdag","fredag","lørdag","søndag")</f>
        <v>søndag</v>
      </c>
      <c r="C19" s="12"/>
      <c r="D19" s="12"/>
      <c r="E19" s="13"/>
      <c r="F19" s="14" t="str">
        <f aca="false">IF(OR(C19="",D19=""),"",ROUND(MOD(D19-C19,1)*24-IF(TraekPause="Ja",N(E19)/60,0),2))</f>
        <v/>
      </c>
      <c r="G19" s="15"/>
      <c r="H19" s="16"/>
      <c r="I19" s="17"/>
      <c r="J19" s="11" t="n">
        <f aca="false">INT((A19-Periodestart)/7)+1</f>
        <v>2</v>
      </c>
    </row>
    <row r="20" customFormat="false" ht="15" hidden="false" customHeight="false" outlineLevel="0" collapsed="false">
      <c r="A20" s="10" t="n">
        <f aca="false">Periodestart+14</f>
        <v>46251</v>
      </c>
      <c r="B20" s="11" t="str">
        <f aca="false">CHOOSE(WEEKDAY(A20,2),"mandag","tirsdag","onsdag","torsdag","fredag","lørdag","søndag")</f>
        <v>mandag</v>
      </c>
      <c r="C20" s="12" t="n">
        <v>0.291666666666667</v>
      </c>
      <c r="D20" s="12" t="n">
        <v>0.745833333333333</v>
      </c>
      <c r="E20" s="13" t="n">
        <v>30</v>
      </c>
      <c r="F20" s="14" t="n">
        <f aca="false">IF(OR(C20="",D20=""),"",ROUND(MOD(D20-C20,1)*24-IF(TraekPause="Ja",N(E20)/60,0),2))</f>
        <v>10.9</v>
      </c>
      <c r="G20" s="15"/>
      <c r="H20" s="16"/>
      <c r="I20" s="17"/>
      <c r="J20" s="11" t="n">
        <f aca="false">INT((A20-Periodestart)/7)+1</f>
        <v>3</v>
      </c>
    </row>
    <row r="21" customFormat="false" ht="15" hidden="false" customHeight="false" outlineLevel="0" collapsed="false">
      <c r="A21" s="10" t="n">
        <f aca="false">Periodestart+15</f>
        <v>46252</v>
      </c>
      <c r="B21" s="11" t="str">
        <f aca="false">CHOOSE(WEEKDAY(A21,2),"mandag","tirsdag","onsdag","torsdag","fredag","lørdag","søndag")</f>
        <v>tirsdag</v>
      </c>
      <c r="C21" s="12" t="n">
        <v>0.291666666666667</v>
      </c>
      <c r="D21" s="12" t="n">
        <v>0.735416666666667</v>
      </c>
      <c r="E21" s="13" t="n">
        <v>30</v>
      </c>
      <c r="F21" s="14" t="n">
        <f aca="false">IF(OR(C21="",D21=""),"",ROUND(MOD(D21-C21,1)*24-IF(TraekPause="Ja",N(E21)/60,0),2))</f>
        <v>10.65</v>
      </c>
      <c r="G21" s="15"/>
      <c r="H21" s="16"/>
      <c r="I21" s="17"/>
      <c r="J21" s="11" t="n">
        <f aca="false">INT((A21-Periodestart)/7)+1</f>
        <v>3</v>
      </c>
    </row>
    <row r="22" customFormat="false" ht="15" hidden="false" customHeight="false" outlineLevel="0" collapsed="false">
      <c r="A22" s="10" t="n">
        <f aca="false">Periodestart+16</f>
        <v>46253</v>
      </c>
      <c r="B22" s="11" t="str">
        <f aca="false">CHOOSE(WEEKDAY(A22,2),"mandag","tirsdag","onsdag","torsdag","fredag","lørdag","søndag")</f>
        <v>onsdag</v>
      </c>
      <c r="C22" s="12" t="n">
        <v>0.291666666666667</v>
      </c>
      <c r="D22" s="12" t="n">
        <v>0.725</v>
      </c>
      <c r="E22" s="13" t="n">
        <v>30</v>
      </c>
      <c r="F22" s="14" t="n">
        <f aca="false">IF(OR(C22="",D22=""),"",ROUND(MOD(D22-C22,1)*24-IF(TraekPause="Ja",N(E22)/60,0),2))</f>
        <v>10.4</v>
      </c>
      <c r="G22" s="15"/>
      <c r="H22" s="16"/>
      <c r="I22" s="17"/>
      <c r="J22" s="11" t="n">
        <f aca="false">INT((A22-Periodestart)/7)+1</f>
        <v>3</v>
      </c>
    </row>
    <row r="23" customFormat="false" ht="15" hidden="false" customHeight="false" outlineLevel="0" collapsed="false">
      <c r="A23" s="10" t="n">
        <f aca="false">Periodestart+17</f>
        <v>46254</v>
      </c>
      <c r="B23" s="11" t="str">
        <f aca="false">CHOOSE(WEEKDAY(A23,2),"mandag","tirsdag","onsdag","torsdag","fredag","lørdag","søndag")</f>
        <v>torsdag</v>
      </c>
      <c r="C23" s="12" t="n">
        <v>0.291666666666667</v>
      </c>
      <c r="D23" s="12" t="n">
        <v>0.714583333333333</v>
      </c>
      <c r="E23" s="13" t="n">
        <v>30</v>
      </c>
      <c r="F23" s="14" t="n">
        <f aca="false">IF(OR(C23="",D23=""),"",ROUND(MOD(D23-C23,1)*24-IF(TraekPause="Ja",N(E23)/60,0),2))</f>
        <v>10.15</v>
      </c>
      <c r="G23" s="15"/>
      <c r="H23" s="16"/>
      <c r="I23" s="17"/>
      <c r="J23" s="11" t="n">
        <f aca="false">INT((A23-Periodestart)/7)+1</f>
        <v>3</v>
      </c>
    </row>
    <row r="24" customFormat="false" ht="15" hidden="false" customHeight="false" outlineLevel="0" collapsed="false">
      <c r="A24" s="10" t="n">
        <f aca="false">Periodestart+18</f>
        <v>46255</v>
      </c>
      <c r="B24" s="11" t="str">
        <f aca="false">CHOOSE(WEEKDAY(A24,2),"mandag","tirsdag","onsdag","torsdag","fredag","lørdag","søndag")</f>
        <v>fredag</v>
      </c>
      <c r="C24" s="12" t="n">
        <v>0.333333333333333</v>
      </c>
      <c r="D24" s="12" t="n">
        <v>0.745833333333333</v>
      </c>
      <c r="E24" s="13" t="n">
        <v>30</v>
      </c>
      <c r="F24" s="14" t="n">
        <f aca="false">IF(OR(C24="",D24=""),"",ROUND(MOD(D24-C24,1)*24-IF(TraekPause="Ja",N(E24)/60,0),2))</f>
        <v>9.9</v>
      </c>
      <c r="G24" s="15"/>
      <c r="H24" s="16"/>
      <c r="I24" s="17"/>
      <c r="J24" s="11" t="n">
        <f aca="false">INT((A24-Periodestart)/7)+1</f>
        <v>3</v>
      </c>
    </row>
    <row r="25" customFormat="false" ht="15" hidden="false" customHeight="false" outlineLevel="0" collapsed="false">
      <c r="A25" s="10" t="n">
        <f aca="false">Periodestart+19</f>
        <v>46256</v>
      </c>
      <c r="B25" s="11" t="str">
        <f aca="false">CHOOSE(WEEKDAY(A25,2),"mandag","tirsdag","onsdag","torsdag","fredag","lørdag","søndag")</f>
        <v>lørdag</v>
      </c>
      <c r="C25" s="12"/>
      <c r="D25" s="12"/>
      <c r="E25" s="13"/>
      <c r="F25" s="14" t="str">
        <f aca="false">IF(OR(C25="",D25=""),"",ROUND(MOD(D25-C25,1)*24-IF(TraekPause="Ja",N(E25)/60,0),2))</f>
        <v/>
      </c>
      <c r="G25" s="15"/>
      <c r="H25" s="16"/>
      <c r="I25" s="17"/>
      <c r="J25" s="11" t="n">
        <f aca="false">INT((A25-Periodestart)/7)+1</f>
        <v>3</v>
      </c>
    </row>
    <row r="26" customFormat="false" ht="15" hidden="false" customHeight="false" outlineLevel="0" collapsed="false">
      <c r="A26" s="10" t="n">
        <f aca="false">Periodestart+20</f>
        <v>46257</v>
      </c>
      <c r="B26" s="11" t="str">
        <f aca="false">CHOOSE(WEEKDAY(A26,2),"mandag","tirsdag","onsdag","torsdag","fredag","lørdag","søndag")</f>
        <v>søndag</v>
      </c>
      <c r="C26" s="12"/>
      <c r="D26" s="12"/>
      <c r="E26" s="13"/>
      <c r="F26" s="14" t="str">
        <f aca="false">IF(OR(C26="",D26=""),"",ROUND(MOD(D26-C26,1)*24-IF(TraekPause="Ja",N(E26)/60,0),2))</f>
        <v/>
      </c>
      <c r="G26" s="15"/>
      <c r="H26" s="16"/>
      <c r="I26" s="17"/>
      <c r="J26" s="11" t="n">
        <f aca="false">INT((A26-Periodestart)/7)+1</f>
        <v>3</v>
      </c>
    </row>
    <row r="27" customFormat="false" ht="15" hidden="false" customHeight="false" outlineLevel="0" collapsed="false">
      <c r="A27" s="10" t="n">
        <f aca="false">Periodestart+21</f>
        <v>46258</v>
      </c>
      <c r="B27" s="11" t="str">
        <f aca="false">CHOOSE(WEEKDAY(A27,2),"mandag","tirsdag","onsdag","torsdag","fredag","lørdag","søndag")</f>
        <v>mandag</v>
      </c>
      <c r="C27" s="12" t="n">
        <v>0.291666666666667</v>
      </c>
      <c r="D27" s="12" t="n">
        <v>0.770833333333333</v>
      </c>
      <c r="E27" s="13" t="n">
        <v>30</v>
      </c>
      <c r="F27" s="14" t="n">
        <f aca="false">IF(OR(C27="",D27=""),"",ROUND(MOD(D27-C27,1)*24-IF(TraekPause="Ja",N(E27)/60,0),2))</f>
        <v>11.5</v>
      </c>
      <c r="G27" s="15"/>
      <c r="H27" s="16"/>
      <c r="I27" s="17"/>
      <c r="J27" s="11" t="n">
        <f aca="false">INT((A27-Periodestart)/7)+1</f>
        <v>4</v>
      </c>
    </row>
    <row r="28" customFormat="false" ht="15" hidden="false" customHeight="false" outlineLevel="0" collapsed="false">
      <c r="A28" s="10" t="n">
        <f aca="false">Periodestart+22</f>
        <v>46259</v>
      </c>
      <c r="B28" s="11" t="str">
        <f aca="false">CHOOSE(WEEKDAY(A28,2),"mandag","tirsdag","onsdag","torsdag","fredag","lørdag","søndag")</f>
        <v>tirsdag</v>
      </c>
      <c r="C28" s="12" t="n">
        <v>0.291666666666667</v>
      </c>
      <c r="D28" s="12" t="n">
        <v>0.760416666666667</v>
      </c>
      <c r="E28" s="13" t="n">
        <v>30</v>
      </c>
      <c r="F28" s="14" t="n">
        <f aca="false">IF(OR(C28="",D28=""),"",ROUND(MOD(D28-C28,1)*24-IF(TraekPause="Ja",N(E28)/60,0),2))</f>
        <v>11.25</v>
      </c>
      <c r="G28" s="15"/>
      <c r="H28" s="16"/>
      <c r="I28" s="17"/>
      <c r="J28" s="11" t="n">
        <f aca="false">INT((A28-Periodestart)/7)+1</f>
        <v>4</v>
      </c>
    </row>
    <row r="29" customFormat="false" ht="15" hidden="false" customHeight="false" outlineLevel="0" collapsed="false">
      <c r="A29" s="10" t="n">
        <f aca="false">Periodestart+23</f>
        <v>46260</v>
      </c>
      <c r="B29" s="11" t="str">
        <f aca="false">CHOOSE(WEEKDAY(A29,2),"mandag","tirsdag","onsdag","torsdag","fredag","lørdag","søndag")</f>
        <v>onsdag</v>
      </c>
      <c r="C29" s="12" t="n">
        <v>0.291666666666667</v>
      </c>
      <c r="D29" s="12" t="n">
        <v>0.75</v>
      </c>
      <c r="E29" s="13" t="n">
        <v>30</v>
      </c>
      <c r="F29" s="14" t="n">
        <f aca="false">IF(OR(C29="",D29=""),"",ROUND(MOD(D29-C29,1)*24-IF(TraekPause="Ja",N(E29)/60,0),2))</f>
        <v>11</v>
      </c>
      <c r="G29" s="15"/>
      <c r="H29" s="16"/>
      <c r="I29" s="17" t="s">
        <v>18</v>
      </c>
      <c r="J29" s="11" t="n">
        <f aca="false">INT((A29-Periodestart)/7)+1</f>
        <v>4</v>
      </c>
    </row>
    <row r="30" customFormat="false" ht="15" hidden="false" customHeight="false" outlineLevel="0" collapsed="false">
      <c r="A30" s="10" t="n">
        <f aca="false">Periodestart+24</f>
        <v>46261</v>
      </c>
      <c r="B30" s="11" t="str">
        <f aca="false">CHOOSE(WEEKDAY(A30,2),"mandag","tirsdag","onsdag","torsdag","fredag","lørdag","søndag")</f>
        <v>torsdag</v>
      </c>
      <c r="C30" s="12" t="n">
        <v>0.291666666666667</v>
      </c>
      <c r="D30" s="12" t="n">
        <v>0.739583333333333</v>
      </c>
      <c r="E30" s="13" t="n">
        <v>30</v>
      </c>
      <c r="F30" s="14" t="n">
        <f aca="false">IF(OR(C30="",D30=""),"",ROUND(MOD(D30-C30,1)*24-IF(TraekPause="Ja",N(E30)/60,0),2))</f>
        <v>10.75</v>
      </c>
      <c r="G30" s="15"/>
      <c r="H30" s="16"/>
      <c r="I30" s="17"/>
      <c r="J30" s="11" t="n">
        <f aca="false">INT((A30-Periodestart)/7)+1</f>
        <v>4</v>
      </c>
    </row>
    <row r="31" customFormat="false" ht="15" hidden="false" customHeight="false" outlineLevel="0" collapsed="false">
      <c r="A31" s="10" t="n">
        <f aca="false">Periodestart+25</f>
        <v>46262</v>
      </c>
      <c r="B31" s="11" t="str">
        <f aca="false">CHOOSE(WEEKDAY(A31,2),"mandag","tirsdag","onsdag","torsdag","fredag","lørdag","søndag")</f>
        <v>fredag</v>
      </c>
      <c r="C31" s="12" t="n">
        <v>0.291666666666667</v>
      </c>
      <c r="D31" s="12" t="n">
        <v>0.729166666666667</v>
      </c>
      <c r="E31" s="13" t="n">
        <v>30</v>
      </c>
      <c r="F31" s="14" t="n">
        <f aca="false">IF(OR(C31="",D31=""),"",ROUND(MOD(D31-C31,1)*24-IF(TraekPause="Ja",N(E31)/60,0),2))</f>
        <v>10.5</v>
      </c>
      <c r="G31" s="15"/>
      <c r="H31" s="16"/>
      <c r="I31" s="17"/>
      <c r="J31" s="11" t="n">
        <f aca="false">INT((A31-Periodestart)/7)+1</f>
        <v>4</v>
      </c>
    </row>
    <row r="32" customFormat="false" ht="15" hidden="false" customHeight="false" outlineLevel="0" collapsed="false">
      <c r="A32" s="10" t="n">
        <f aca="false">Periodestart+26</f>
        <v>46263</v>
      </c>
      <c r="B32" s="11" t="str">
        <f aca="false">CHOOSE(WEEKDAY(A32,2),"mandag","tirsdag","onsdag","torsdag","fredag","lørdag","søndag")</f>
        <v>lørdag</v>
      </c>
      <c r="C32" s="12"/>
      <c r="D32" s="12"/>
      <c r="E32" s="13"/>
      <c r="F32" s="14" t="str">
        <f aca="false">IF(OR(C32="",D32=""),"",ROUND(MOD(D32-C32,1)*24-IF(TraekPause="Ja",N(E32)/60,0),2))</f>
        <v/>
      </c>
      <c r="G32" s="15"/>
      <c r="H32" s="16"/>
      <c r="I32" s="17"/>
      <c r="J32" s="11" t="n">
        <f aca="false">INT((A32-Periodestart)/7)+1</f>
        <v>4</v>
      </c>
    </row>
    <row r="33" customFormat="false" ht="15" hidden="false" customHeight="false" outlineLevel="0" collapsed="false">
      <c r="A33" s="10" t="n">
        <f aca="false">Periodestart+27</f>
        <v>46264</v>
      </c>
      <c r="B33" s="11" t="str">
        <f aca="false">CHOOSE(WEEKDAY(A33,2),"mandag","tirsdag","onsdag","torsdag","fredag","lørdag","søndag")</f>
        <v>søndag</v>
      </c>
      <c r="C33" s="12"/>
      <c r="D33" s="12"/>
      <c r="E33" s="13"/>
      <c r="F33" s="14" t="str">
        <f aca="false">IF(OR(C33="",D33=""),"",ROUND(MOD(D33-C33,1)*24-IF(TraekPause="Ja",N(E33)/60,0),2))</f>
        <v/>
      </c>
      <c r="G33" s="15"/>
      <c r="H33" s="16"/>
      <c r="I33" s="17"/>
      <c r="J33" s="11" t="n">
        <f aca="false">INT((A33-Periodestart)/7)+1</f>
        <v>4</v>
      </c>
    </row>
    <row r="34" customFormat="false" ht="15" hidden="false" customHeight="false" outlineLevel="0" collapsed="false">
      <c r="A34" s="10" t="n">
        <f aca="false">Periodestart+28</f>
        <v>46265</v>
      </c>
      <c r="B34" s="11" t="str">
        <f aca="false">CHOOSE(WEEKDAY(A34,2),"mandag","tirsdag","onsdag","torsdag","fredag","lørdag","søndag")</f>
        <v>mandag</v>
      </c>
      <c r="C34" s="12" t="n">
        <v>0.291666666666667</v>
      </c>
      <c r="D34" s="12" t="n">
        <v>0.729166666666667</v>
      </c>
      <c r="E34" s="13" t="n">
        <v>30</v>
      </c>
      <c r="F34" s="14" t="n">
        <f aca="false">IF(OR(C34="",D34=""),"",ROUND(MOD(D34-C34,1)*24-IF(TraekPause="Ja",N(E34)/60,0),2))</f>
        <v>10.5</v>
      </c>
      <c r="G34" s="15"/>
      <c r="H34" s="16"/>
      <c r="I34" s="17"/>
      <c r="J34" s="11" t="n">
        <f aca="false">INT((A34-Periodestart)/7)+1</f>
        <v>5</v>
      </c>
    </row>
    <row r="35" customFormat="false" ht="15" hidden="false" customHeight="false" outlineLevel="0" collapsed="false">
      <c r="A35" s="10" t="n">
        <f aca="false">Periodestart+29</f>
        <v>46266</v>
      </c>
      <c r="B35" s="11" t="str">
        <f aca="false">CHOOSE(WEEKDAY(A35,2),"mandag","tirsdag","onsdag","torsdag","fredag","lørdag","søndag")</f>
        <v>tirsdag</v>
      </c>
      <c r="C35" s="12" t="n">
        <v>0.291666666666667</v>
      </c>
      <c r="D35" s="12" t="n">
        <v>0.71875</v>
      </c>
      <c r="E35" s="13" t="n">
        <v>30</v>
      </c>
      <c r="F35" s="14" t="n">
        <f aca="false">IF(OR(C35="",D35=""),"",ROUND(MOD(D35-C35,1)*24-IF(TraekPause="Ja",N(E35)/60,0),2))</f>
        <v>10.25</v>
      </c>
      <c r="G35" s="15"/>
      <c r="H35" s="16"/>
      <c r="I35" s="17"/>
      <c r="J35" s="11" t="n">
        <f aca="false">INT((A35-Periodestart)/7)+1</f>
        <v>5</v>
      </c>
    </row>
    <row r="36" customFormat="false" ht="15" hidden="false" customHeight="false" outlineLevel="0" collapsed="false">
      <c r="A36" s="10" t="n">
        <f aca="false">Periodestart+30</f>
        <v>46267</v>
      </c>
      <c r="B36" s="11" t="str">
        <f aca="false">CHOOSE(WEEKDAY(A36,2),"mandag","tirsdag","onsdag","torsdag","fredag","lørdag","søndag")</f>
        <v>onsdag</v>
      </c>
      <c r="C36" s="12" t="n">
        <v>0.333333333333333</v>
      </c>
      <c r="D36" s="12" t="n">
        <v>0.75</v>
      </c>
      <c r="E36" s="13" t="n">
        <v>30</v>
      </c>
      <c r="F36" s="14" t="n">
        <f aca="false">IF(OR(C36="",D36=""),"",ROUND(MOD(D36-C36,1)*24-IF(TraekPause="Ja",N(E36)/60,0),2))</f>
        <v>10</v>
      </c>
      <c r="G36" s="15"/>
      <c r="H36" s="16"/>
      <c r="I36" s="17"/>
      <c r="J36" s="11" t="n">
        <f aca="false">INT((A36-Periodestart)/7)+1</f>
        <v>5</v>
      </c>
    </row>
    <row r="37" customFormat="false" ht="15" hidden="false" customHeight="false" outlineLevel="0" collapsed="false">
      <c r="A37" s="10" t="n">
        <f aca="false">Periodestart+31</f>
        <v>46268</v>
      </c>
      <c r="B37" s="11" t="str">
        <f aca="false">CHOOSE(WEEKDAY(A37,2),"mandag","tirsdag","onsdag","torsdag","fredag","lørdag","søndag")</f>
        <v>torsdag</v>
      </c>
      <c r="C37" s="12" t="n">
        <v>0.333333333333333</v>
      </c>
      <c r="D37" s="12" t="n">
        <v>0.739583333333333</v>
      </c>
      <c r="E37" s="13" t="n">
        <v>30</v>
      </c>
      <c r="F37" s="14" t="n">
        <f aca="false">IF(OR(C37="",D37=""),"",ROUND(MOD(D37-C37,1)*24-IF(TraekPause="Ja",N(E37)/60,0),2))</f>
        <v>9.75</v>
      </c>
      <c r="G37" s="15"/>
      <c r="H37" s="16"/>
      <c r="I37" s="17"/>
      <c r="J37" s="11" t="n">
        <f aca="false">INT((A37-Periodestart)/7)+1</f>
        <v>5</v>
      </c>
    </row>
    <row r="38" customFormat="false" ht="15" hidden="false" customHeight="false" outlineLevel="0" collapsed="false">
      <c r="A38" s="10" t="n">
        <f aca="false">Periodestart+32</f>
        <v>46269</v>
      </c>
      <c r="B38" s="11" t="str">
        <f aca="false">CHOOSE(WEEKDAY(A38,2),"mandag","tirsdag","onsdag","torsdag","fredag","lørdag","søndag")</f>
        <v>fredag</v>
      </c>
      <c r="C38" s="12" t="n">
        <v>0.333333333333333</v>
      </c>
      <c r="D38" s="12" t="n">
        <v>0.729166666666667</v>
      </c>
      <c r="E38" s="13" t="n">
        <v>30</v>
      </c>
      <c r="F38" s="14" t="n">
        <f aca="false">IF(OR(C38="",D38=""),"",ROUND(MOD(D38-C38,1)*24-IF(TraekPause="Ja",N(E38)/60,0),2))</f>
        <v>9.5</v>
      </c>
      <c r="G38" s="15"/>
      <c r="H38" s="16"/>
      <c r="I38" s="17"/>
      <c r="J38" s="11" t="n">
        <f aca="false">INT((A38-Periodestart)/7)+1</f>
        <v>5</v>
      </c>
    </row>
    <row r="39" customFormat="false" ht="15" hidden="false" customHeight="false" outlineLevel="0" collapsed="false">
      <c r="A39" s="10" t="n">
        <f aca="false">Periodestart+33</f>
        <v>46270</v>
      </c>
      <c r="B39" s="11" t="str">
        <f aca="false">CHOOSE(WEEKDAY(A39,2),"mandag","tirsdag","onsdag","torsdag","fredag","lørdag","søndag")</f>
        <v>lørdag</v>
      </c>
      <c r="C39" s="12"/>
      <c r="D39" s="12"/>
      <c r="E39" s="13"/>
      <c r="F39" s="14" t="str">
        <f aca="false">IF(OR(C39="",D39=""),"",ROUND(MOD(D39-C39,1)*24-IF(TraekPause="Ja",N(E39)/60,0),2))</f>
        <v/>
      </c>
      <c r="G39" s="15"/>
      <c r="H39" s="16"/>
      <c r="I39" s="17"/>
      <c r="J39" s="11" t="n">
        <f aca="false">INT((A39-Periodestart)/7)+1</f>
        <v>5</v>
      </c>
    </row>
    <row r="40" customFormat="false" ht="15" hidden="false" customHeight="false" outlineLevel="0" collapsed="false">
      <c r="A40" s="10" t="n">
        <f aca="false">Periodestart+34</f>
        <v>46271</v>
      </c>
      <c r="B40" s="11" t="str">
        <f aca="false">CHOOSE(WEEKDAY(A40,2),"mandag","tirsdag","onsdag","torsdag","fredag","lørdag","søndag")</f>
        <v>søndag</v>
      </c>
      <c r="C40" s="12"/>
      <c r="D40" s="12"/>
      <c r="E40" s="13"/>
      <c r="F40" s="14" t="str">
        <f aca="false">IF(OR(C40="",D40=""),"",ROUND(MOD(D40-C40,1)*24-IF(TraekPause="Ja",N(E40)/60,0),2))</f>
        <v/>
      </c>
      <c r="G40" s="15"/>
      <c r="H40" s="16"/>
      <c r="I40" s="17"/>
      <c r="J40" s="11" t="n">
        <f aca="false">INT((A40-Periodestart)/7)+1</f>
        <v>5</v>
      </c>
    </row>
    <row r="41" customFormat="false" ht="15" hidden="false" customHeight="false" outlineLevel="0" collapsed="false">
      <c r="A41" s="10" t="n">
        <f aca="false">Periodestart+35</f>
        <v>46272</v>
      </c>
      <c r="B41" s="11" t="str">
        <f aca="false">CHOOSE(WEEKDAY(A41,2),"mandag","tirsdag","onsdag","torsdag","fredag","lørdag","søndag")</f>
        <v>mandag</v>
      </c>
      <c r="C41" s="12" t="n">
        <v>0.333333333333333</v>
      </c>
      <c r="D41" s="12" t="n">
        <v>0.6625</v>
      </c>
      <c r="E41" s="13" t="n">
        <v>30</v>
      </c>
      <c r="F41" s="14" t="n">
        <f aca="false">IF(OR(C41="",D41=""),"",ROUND(MOD(D41-C41,1)*24-IF(TraekPause="Ja",N(E41)/60,0),2))</f>
        <v>7.9</v>
      </c>
      <c r="G41" s="15"/>
      <c r="H41" s="16"/>
      <c r="I41" s="17"/>
      <c r="J41" s="11" t="n">
        <f aca="false">INT((A41-Periodestart)/7)+1</f>
        <v>6</v>
      </c>
    </row>
    <row r="42" customFormat="false" ht="15" hidden="false" customHeight="false" outlineLevel="0" collapsed="false">
      <c r="A42" s="10" t="n">
        <f aca="false">Periodestart+36</f>
        <v>46273</v>
      </c>
      <c r="B42" s="11" t="str">
        <f aca="false">CHOOSE(WEEKDAY(A42,2),"mandag","tirsdag","onsdag","torsdag","fredag","lørdag","søndag")</f>
        <v>tirsdag</v>
      </c>
      <c r="C42" s="12" t="n">
        <v>0.333333333333333</v>
      </c>
      <c r="D42" s="12" t="n">
        <v>0.652083333333333</v>
      </c>
      <c r="E42" s="13" t="n">
        <v>30</v>
      </c>
      <c r="F42" s="14" t="n">
        <f aca="false">IF(OR(C42="",D42=""),"",ROUND(MOD(D42-C42,1)*24-IF(TraekPause="Ja",N(E42)/60,0),2))</f>
        <v>7.65</v>
      </c>
      <c r="G42" s="15"/>
      <c r="H42" s="16"/>
      <c r="I42" s="17"/>
      <c r="J42" s="11" t="n">
        <f aca="false">INT((A42-Periodestart)/7)+1</f>
        <v>6</v>
      </c>
    </row>
    <row r="43" customFormat="false" ht="15" hidden="false" customHeight="false" outlineLevel="0" collapsed="false">
      <c r="A43" s="10" t="n">
        <f aca="false">Periodestart+37</f>
        <v>46274</v>
      </c>
      <c r="B43" s="11" t="str">
        <f aca="false">CHOOSE(WEEKDAY(A43,2),"mandag","tirsdag","onsdag","torsdag","fredag","lørdag","søndag")</f>
        <v>onsdag</v>
      </c>
      <c r="C43" s="12" t="n">
        <v>0.333333333333333</v>
      </c>
      <c r="D43" s="12" t="n">
        <v>0.641666666666667</v>
      </c>
      <c r="E43" s="13" t="n">
        <v>30</v>
      </c>
      <c r="F43" s="14" t="n">
        <f aca="false">IF(OR(C43="",D43=""),"",ROUND(MOD(D43-C43,1)*24-IF(TraekPause="Ja",N(E43)/60,0),2))</f>
        <v>7.4</v>
      </c>
      <c r="G43" s="15"/>
      <c r="H43" s="16"/>
      <c r="I43" s="17"/>
      <c r="J43" s="11" t="n">
        <f aca="false">INT((A43-Periodestart)/7)+1</f>
        <v>6</v>
      </c>
    </row>
    <row r="44" customFormat="false" ht="15" hidden="false" customHeight="false" outlineLevel="0" collapsed="false">
      <c r="A44" s="10" t="n">
        <f aca="false">Periodestart+38</f>
        <v>46275</v>
      </c>
      <c r="B44" s="11" t="str">
        <f aca="false">CHOOSE(WEEKDAY(A44,2),"mandag","tirsdag","onsdag","torsdag","fredag","lørdag","søndag")</f>
        <v>torsdag</v>
      </c>
      <c r="C44" s="12" t="n">
        <v>0.333333333333333</v>
      </c>
      <c r="D44" s="12" t="n">
        <v>0.63125</v>
      </c>
      <c r="E44" s="13" t="n">
        <v>30</v>
      </c>
      <c r="F44" s="14" t="n">
        <f aca="false">IF(OR(C44="",D44=""),"",ROUND(MOD(D44-C44,1)*24-IF(TraekPause="Ja",N(E44)/60,0),2))</f>
        <v>7.15</v>
      </c>
      <c r="G44" s="15"/>
      <c r="H44" s="16"/>
      <c r="I44" s="17"/>
      <c r="J44" s="11" t="n">
        <f aca="false">INT((A44-Periodestart)/7)+1</f>
        <v>6</v>
      </c>
    </row>
    <row r="45" customFormat="false" ht="15" hidden="false" customHeight="false" outlineLevel="0" collapsed="false">
      <c r="A45" s="10" t="n">
        <f aca="false">Periodestart+39</f>
        <v>46276</v>
      </c>
      <c r="B45" s="11" t="str">
        <f aca="false">CHOOSE(WEEKDAY(A45,2),"mandag","tirsdag","onsdag","torsdag","fredag","lørdag","søndag")</f>
        <v>fredag</v>
      </c>
      <c r="C45" s="12" t="n">
        <v>0.333333333333333</v>
      </c>
      <c r="D45" s="12" t="n">
        <v>0.620833333333333</v>
      </c>
      <c r="E45" s="13" t="n">
        <v>30</v>
      </c>
      <c r="F45" s="14" t="n">
        <f aca="false">IF(OR(C45="",D45=""),"",ROUND(MOD(D45-C45,1)*24-IF(TraekPause="Ja",N(E45)/60,0),2))</f>
        <v>6.9</v>
      </c>
      <c r="G45" s="15"/>
      <c r="H45" s="16"/>
      <c r="I45" s="17"/>
      <c r="J45" s="11" t="n">
        <f aca="false">INT((A45-Periodestart)/7)+1</f>
        <v>6</v>
      </c>
    </row>
    <row r="46" customFormat="false" ht="15" hidden="false" customHeight="false" outlineLevel="0" collapsed="false">
      <c r="A46" s="10" t="n">
        <f aca="false">Periodestart+40</f>
        <v>46277</v>
      </c>
      <c r="B46" s="11" t="str">
        <f aca="false">CHOOSE(WEEKDAY(A46,2),"mandag","tirsdag","onsdag","torsdag","fredag","lørdag","søndag")</f>
        <v>lørdag</v>
      </c>
      <c r="C46" s="12"/>
      <c r="D46" s="12"/>
      <c r="E46" s="13"/>
      <c r="F46" s="14" t="str">
        <f aca="false">IF(OR(C46="",D46=""),"",ROUND(MOD(D46-C46,1)*24-IF(TraekPause="Ja",N(E46)/60,0),2))</f>
        <v/>
      </c>
      <c r="G46" s="15"/>
      <c r="H46" s="16"/>
      <c r="I46" s="17"/>
      <c r="J46" s="11" t="n">
        <f aca="false">INT((A46-Periodestart)/7)+1</f>
        <v>6</v>
      </c>
    </row>
    <row r="47" customFormat="false" ht="15" hidden="false" customHeight="false" outlineLevel="0" collapsed="false">
      <c r="A47" s="10" t="n">
        <f aca="false">Periodestart+41</f>
        <v>46278</v>
      </c>
      <c r="B47" s="11" t="str">
        <f aca="false">CHOOSE(WEEKDAY(A47,2),"mandag","tirsdag","onsdag","torsdag","fredag","lørdag","søndag")</f>
        <v>søndag</v>
      </c>
      <c r="C47" s="12"/>
      <c r="D47" s="12"/>
      <c r="E47" s="13"/>
      <c r="F47" s="14" t="str">
        <f aca="false">IF(OR(C47="",D47=""),"",ROUND(MOD(D47-C47,1)*24-IF(TraekPause="Ja",N(E47)/60,0),2))</f>
        <v/>
      </c>
      <c r="G47" s="15"/>
      <c r="H47" s="16"/>
      <c r="I47" s="17"/>
      <c r="J47" s="11" t="n">
        <f aca="false">INT((A47-Periodestart)/7)+1</f>
        <v>6</v>
      </c>
    </row>
    <row r="48" customFormat="false" ht="15" hidden="false" customHeight="false" outlineLevel="0" collapsed="false">
      <c r="A48" s="10" t="n">
        <f aca="false">Periodestart+42</f>
        <v>46279</v>
      </c>
      <c r="B48" s="11" t="str">
        <f aca="false">CHOOSE(WEEKDAY(A48,2),"mandag","tirsdag","onsdag","torsdag","fredag","lørdag","søndag")</f>
        <v>mandag</v>
      </c>
      <c r="C48" s="12"/>
      <c r="D48" s="12"/>
      <c r="E48" s="13"/>
      <c r="F48" s="14" t="str">
        <f aca="false">IF(OR(C48="",D48=""),"",ROUND(MOD(D48-C48,1)*24-IF(TraekPause="Ja",N(E48)/60,0),2))</f>
        <v/>
      </c>
      <c r="G48" s="15" t="s">
        <v>19</v>
      </c>
      <c r="H48" s="16" t="n">
        <v>7.4</v>
      </c>
      <c r="I48" s="17"/>
      <c r="J48" s="11" t="n">
        <f aca="false">INT((A48-Periodestart)/7)+1</f>
        <v>7</v>
      </c>
    </row>
    <row r="49" customFormat="false" ht="15" hidden="false" customHeight="false" outlineLevel="0" collapsed="false">
      <c r="A49" s="10" t="n">
        <f aca="false">Periodestart+43</f>
        <v>46280</v>
      </c>
      <c r="B49" s="11" t="str">
        <f aca="false">CHOOSE(WEEKDAY(A49,2),"mandag","tirsdag","onsdag","torsdag","fredag","lørdag","søndag")</f>
        <v>tirsdag</v>
      </c>
      <c r="C49" s="12"/>
      <c r="D49" s="12"/>
      <c r="E49" s="13"/>
      <c r="F49" s="14" t="str">
        <f aca="false">IF(OR(C49="",D49=""),"",ROUND(MOD(D49-C49,1)*24-IF(TraekPause="Ja",N(E49)/60,0),2))</f>
        <v/>
      </c>
      <c r="G49" s="15" t="s">
        <v>19</v>
      </c>
      <c r="H49" s="16" t="n">
        <v>7.4</v>
      </c>
      <c r="I49" s="17"/>
      <c r="J49" s="11" t="n">
        <f aca="false">INT((A49-Periodestart)/7)+1</f>
        <v>7</v>
      </c>
    </row>
    <row r="50" customFormat="false" ht="15" hidden="false" customHeight="false" outlineLevel="0" collapsed="false">
      <c r="A50" s="10" t="n">
        <f aca="false">Periodestart+44</f>
        <v>46281</v>
      </c>
      <c r="B50" s="11" t="str">
        <f aca="false">CHOOSE(WEEKDAY(A50,2),"mandag","tirsdag","onsdag","torsdag","fredag","lørdag","søndag")</f>
        <v>onsdag</v>
      </c>
      <c r="C50" s="12"/>
      <c r="D50" s="12"/>
      <c r="E50" s="13"/>
      <c r="F50" s="14" t="str">
        <f aca="false">IF(OR(C50="",D50=""),"",ROUND(MOD(D50-C50,1)*24-IF(TraekPause="Ja",N(E50)/60,0),2))</f>
        <v/>
      </c>
      <c r="G50" s="15" t="s">
        <v>19</v>
      </c>
      <c r="H50" s="16" t="n">
        <v>7.4</v>
      </c>
      <c r="I50" s="17"/>
      <c r="J50" s="11" t="n">
        <f aca="false">INT((A50-Periodestart)/7)+1</f>
        <v>7</v>
      </c>
    </row>
    <row r="51" customFormat="false" ht="15" hidden="false" customHeight="false" outlineLevel="0" collapsed="false">
      <c r="A51" s="10" t="n">
        <f aca="false">Periodestart+45</f>
        <v>46282</v>
      </c>
      <c r="B51" s="11" t="str">
        <f aca="false">CHOOSE(WEEKDAY(A51,2),"mandag","tirsdag","onsdag","torsdag","fredag","lørdag","søndag")</f>
        <v>torsdag</v>
      </c>
      <c r="C51" s="12"/>
      <c r="D51" s="12"/>
      <c r="E51" s="13"/>
      <c r="F51" s="14" t="str">
        <f aca="false">IF(OR(C51="",D51=""),"",ROUND(MOD(D51-C51,1)*24-IF(TraekPause="Ja",N(E51)/60,0),2))</f>
        <v/>
      </c>
      <c r="G51" s="15" t="s">
        <v>19</v>
      </c>
      <c r="H51" s="16" t="n">
        <v>7.4</v>
      </c>
      <c r="I51" s="17"/>
      <c r="J51" s="11" t="n">
        <f aca="false">INT((A51-Periodestart)/7)+1</f>
        <v>7</v>
      </c>
    </row>
    <row r="52" customFormat="false" ht="15" hidden="false" customHeight="false" outlineLevel="0" collapsed="false">
      <c r="A52" s="10" t="n">
        <f aca="false">Periodestart+46</f>
        <v>46283</v>
      </c>
      <c r="B52" s="11" t="str">
        <f aca="false">CHOOSE(WEEKDAY(A52,2),"mandag","tirsdag","onsdag","torsdag","fredag","lørdag","søndag")</f>
        <v>fredag</v>
      </c>
      <c r="C52" s="12"/>
      <c r="D52" s="12"/>
      <c r="E52" s="13"/>
      <c r="F52" s="14" t="str">
        <f aca="false">IF(OR(C52="",D52=""),"",ROUND(MOD(D52-C52,1)*24-IF(TraekPause="Ja",N(E52)/60,0),2))</f>
        <v/>
      </c>
      <c r="G52" s="15" t="s">
        <v>19</v>
      </c>
      <c r="H52" s="16" t="n">
        <v>7.4</v>
      </c>
      <c r="I52" s="17"/>
      <c r="J52" s="11" t="n">
        <f aca="false">INT((A52-Periodestart)/7)+1</f>
        <v>7</v>
      </c>
    </row>
    <row r="53" customFormat="false" ht="15" hidden="false" customHeight="false" outlineLevel="0" collapsed="false">
      <c r="A53" s="10" t="n">
        <f aca="false">Periodestart+47</f>
        <v>46284</v>
      </c>
      <c r="B53" s="11" t="str">
        <f aca="false">CHOOSE(WEEKDAY(A53,2),"mandag","tirsdag","onsdag","torsdag","fredag","lørdag","søndag")</f>
        <v>lørdag</v>
      </c>
      <c r="C53" s="12"/>
      <c r="D53" s="12"/>
      <c r="E53" s="13"/>
      <c r="F53" s="14" t="str">
        <f aca="false">IF(OR(C53="",D53=""),"",ROUND(MOD(D53-C53,1)*24-IF(TraekPause="Ja",N(E53)/60,0),2))</f>
        <v/>
      </c>
      <c r="G53" s="15"/>
      <c r="H53" s="16"/>
      <c r="I53" s="17"/>
      <c r="J53" s="11" t="n">
        <f aca="false">INT((A53-Periodestart)/7)+1</f>
        <v>7</v>
      </c>
    </row>
    <row r="54" customFormat="false" ht="15" hidden="false" customHeight="false" outlineLevel="0" collapsed="false">
      <c r="A54" s="10" t="n">
        <f aca="false">Periodestart+48</f>
        <v>46285</v>
      </c>
      <c r="B54" s="11" t="str">
        <f aca="false">CHOOSE(WEEKDAY(A54,2),"mandag","tirsdag","onsdag","torsdag","fredag","lørdag","søndag")</f>
        <v>søndag</v>
      </c>
      <c r="C54" s="12"/>
      <c r="D54" s="12"/>
      <c r="E54" s="13"/>
      <c r="F54" s="14" t="str">
        <f aca="false">IF(OR(C54="",D54=""),"",ROUND(MOD(D54-C54,1)*24-IF(TraekPause="Ja",N(E54)/60,0),2))</f>
        <v/>
      </c>
      <c r="G54" s="15"/>
      <c r="H54" s="16"/>
      <c r="I54" s="17"/>
      <c r="J54" s="11" t="n">
        <f aca="false">INT((A54-Periodestart)/7)+1</f>
        <v>7</v>
      </c>
    </row>
    <row r="55" customFormat="false" ht="15" hidden="false" customHeight="false" outlineLevel="0" collapsed="false">
      <c r="A55" s="10" t="n">
        <f aca="false">Periodestart+49</f>
        <v>46286</v>
      </c>
      <c r="B55" s="11" t="str">
        <f aca="false">CHOOSE(WEEKDAY(A55,2),"mandag","tirsdag","onsdag","torsdag","fredag","lørdag","søndag")</f>
        <v>mandag</v>
      </c>
      <c r="C55" s="12" t="n">
        <v>0.333333333333333</v>
      </c>
      <c r="D55" s="12" t="n">
        <v>0.645833333333333</v>
      </c>
      <c r="E55" s="13" t="n">
        <v>30</v>
      </c>
      <c r="F55" s="14" t="n">
        <f aca="false">IF(OR(C55="",D55=""),"",ROUND(MOD(D55-C55,1)*24-IF(TraekPause="Ja",N(E55)/60,0),2))</f>
        <v>7.5</v>
      </c>
      <c r="G55" s="15"/>
      <c r="H55" s="16"/>
      <c r="I55" s="17"/>
      <c r="J55" s="11" t="n">
        <f aca="false">INT((A55-Periodestart)/7)+1</f>
        <v>8</v>
      </c>
    </row>
    <row r="56" customFormat="false" ht="15" hidden="false" customHeight="false" outlineLevel="0" collapsed="false">
      <c r="A56" s="10" t="n">
        <f aca="false">Periodestart+50</f>
        <v>46287</v>
      </c>
      <c r="B56" s="11" t="str">
        <f aca="false">CHOOSE(WEEKDAY(A56,2),"mandag","tirsdag","onsdag","torsdag","fredag","lørdag","søndag")</f>
        <v>tirsdag</v>
      </c>
      <c r="C56" s="12" t="n">
        <v>0.333333333333333</v>
      </c>
      <c r="D56" s="12" t="n">
        <v>0.635416666666667</v>
      </c>
      <c r="E56" s="13" t="n">
        <v>30</v>
      </c>
      <c r="F56" s="14" t="n">
        <f aca="false">IF(OR(C56="",D56=""),"",ROUND(MOD(D56-C56,1)*24-IF(TraekPause="Ja",N(E56)/60,0),2))</f>
        <v>7.25</v>
      </c>
      <c r="G56" s="15"/>
      <c r="H56" s="16"/>
      <c r="I56" s="17"/>
      <c r="J56" s="11" t="n">
        <f aca="false">INT((A56-Periodestart)/7)+1</f>
        <v>8</v>
      </c>
    </row>
    <row r="57" customFormat="false" ht="15" hidden="false" customHeight="false" outlineLevel="0" collapsed="false">
      <c r="A57" s="10" t="n">
        <f aca="false">Periodestart+51</f>
        <v>46288</v>
      </c>
      <c r="B57" s="11" t="str">
        <f aca="false">CHOOSE(WEEKDAY(A57,2),"mandag","tirsdag","onsdag","torsdag","fredag","lørdag","søndag")</f>
        <v>onsdag</v>
      </c>
      <c r="C57" s="12" t="n">
        <v>0.333333333333333</v>
      </c>
      <c r="D57" s="12" t="n">
        <v>0.625</v>
      </c>
      <c r="E57" s="13" t="n">
        <v>30</v>
      </c>
      <c r="F57" s="14" t="n">
        <f aca="false">IF(OR(C57="",D57=""),"",ROUND(MOD(D57-C57,1)*24-IF(TraekPause="Ja",N(E57)/60,0),2))</f>
        <v>7</v>
      </c>
      <c r="G57" s="15"/>
      <c r="H57" s="16"/>
      <c r="I57" s="17"/>
      <c r="J57" s="11" t="n">
        <f aca="false">INT((A57-Periodestart)/7)+1</f>
        <v>8</v>
      </c>
    </row>
    <row r="58" customFormat="false" ht="15" hidden="false" customHeight="false" outlineLevel="0" collapsed="false">
      <c r="A58" s="10" t="n">
        <f aca="false">Periodestart+52</f>
        <v>46289</v>
      </c>
      <c r="B58" s="11" t="str">
        <f aca="false">CHOOSE(WEEKDAY(A58,2),"mandag","tirsdag","onsdag","torsdag","fredag","lørdag","søndag")</f>
        <v>torsdag</v>
      </c>
      <c r="C58" s="12" t="n">
        <v>0.333333333333333</v>
      </c>
      <c r="D58" s="12" t="n">
        <v>0.614583333333333</v>
      </c>
      <c r="E58" s="13" t="n">
        <v>30</v>
      </c>
      <c r="F58" s="14" t="n">
        <f aca="false">IF(OR(C58="",D58=""),"",ROUND(MOD(D58-C58,1)*24-IF(TraekPause="Ja",N(E58)/60,0),2))</f>
        <v>6.75</v>
      </c>
      <c r="G58" s="15"/>
      <c r="H58" s="16"/>
      <c r="I58" s="17"/>
      <c r="J58" s="11" t="n">
        <f aca="false">INT((A58-Periodestart)/7)+1</f>
        <v>8</v>
      </c>
    </row>
    <row r="59" customFormat="false" ht="15" hidden="false" customHeight="false" outlineLevel="0" collapsed="false">
      <c r="A59" s="10" t="n">
        <f aca="false">Periodestart+53</f>
        <v>46290</v>
      </c>
      <c r="B59" s="11" t="str">
        <f aca="false">CHOOSE(WEEKDAY(A59,2),"mandag","tirsdag","onsdag","torsdag","fredag","lørdag","søndag")</f>
        <v>fredag</v>
      </c>
      <c r="C59" s="12" t="n">
        <v>0.333333333333333</v>
      </c>
      <c r="D59" s="12" t="n">
        <v>0.604166666666667</v>
      </c>
      <c r="E59" s="13" t="n">
        <v>30</v>
      </c>
      <c r="F59" s="14" t="n">
        <f aca="false">IF(OR(C59="",D59=""),"",ROUND(MOD(D59-C59,1)*24-IF(TraekPause="Ja",N(E59)/60,0),2))</f>
        <v>6.5</v>
      </c>
      <c r="G59" s="15"/>
      <c r="H59" s="16"/>
      <c r="I59" s="17"/>
      <c r="J59" s="11" t="n">
        <f aca="false">INT((A59-Periodestart)/7)+1</f>
        <v>8</v>
      </c>
    </row>
    <row r="60" customFormat="false" ht="15" hidden="false" customHeight="false" outlineLevel="0" collapsed="false">
      <c r="A60" s="10" t="n">
        <f aca="false">Periodestart+54</f>
        <v>46291</v>
      </c>
      <c r="B60" s="11" t="str">
        <f aca="false">CHOOSE(WEEKDAY(A60,2),"mandag","tirsdag","onsdag","torsdag","fredag","lørdag","søndag")</f>
        <v>lørdag</v>
      </c>
      <c r="C60" s="12"/>
      <c r="D60" s="12"/>
      <c r="E60" s="13"/>
      <c r="F60" s="14" t="str">
        <f aca="false">IF(OR(C60="",D60=""),"",ROUND(MOD(D60-C60,1)*24-IF(TraekPause="Ja",N(E60)/60,0),2))</f>
        <v/>
      </c>
      <c r="G60" s="15"/>
      <c r="H60" s="16"/>
      <c r="I60" s="17"/>
      <c r="J60" s="11" t="n">
        <f aca="false">INT((A60-Periodestart)/7)+1</f>
        <v>8</v>
      </c>
    </row>
    <row r="61" customFormat="false" ht="15" hidden="false" customHeight="false" outlineLevel="0" collapsed="false">
      <c r="A61" s="10" t="n">
        <f aca="false">Periodestart+55</f>
        <v>46292</v>
      </c>
      <c r="B61" s="11" t="str">
        <f aca="false">CHOOSE(WEEKDAY(A61,2),"mandag","tirsdag","onsdag","torsdag","fredag","lørdag","søndag")</f>
        <v>søndag</v>
      </c>
      <c r="C61" s="12"/>
      <c r="D61" s="12"/>
      <c r="E61" s="13"/>
      <c r="F61" s="14" t="str">
        <f aca="false">IF(OR(C61="",D61=""),"",ROUND(MOD(D61-C61,1)*24-IF(TraekPause="Ja",N(E61)/60,0),2))</f>
        <v/>
      </c>
      <c r="G61" s="15"/>
      <c r="H61" s="16"/>
      <c r="I61" s="17"/>
      <c r="J61" s="11" t="n">
        <f aca="false">INT((A61-Periodestart)/7)+1</f>
        <v>8</v>
      </c>
    </row>
    <row r="62" customFormat="false" ht="15" hidden="false" customHeight="false" outlineLevel="0" collapsed="false">
      <c r="A62" s="10" t="n">
        <f aca="false">Periodestart+56</f>
        <v>46293</v>
      </c>
      <c r="B62" s="11" t="str">
        <f aca="false">CHOOSE(WEEKDAY(A62,2),"mandag","tirsdag","onsdag","torsdag","fredag","lørdag","søndag")</f>
        <v>mandag</v>
      </c>
      <c r="C62" s="12" t="n">
        <v>0.333333333333333</v>
      </c>
      <c r="D62" s="12" t="n">
        <v>0.729166666666667</v>
      </c>
      <c r="E62" s="13" t="n">
        <v>30</v>
      </c>
      <c r="F62" s="14" t="n">
        <f aca="false">IF(OR(C62="",D62=""),"",ROUND(MOD(D62-C62,1)*24-IF(TraekPause="Ja",N(E62)/60,0),2))</f>
        <v>9.5</v>
      </c>
      <c r="G62" s="15"/>
      <c r="H62" s="16"/>
      <c r="I62" s="17"/>
      <c r="J62" s="11" t="n">
        <f aca="false">INT((A62-Periodestart)/7)+1</f>
        <v>9</v>
      </c>
    </row>
    <row r="63" customFormat="false" ht="15" hidden="false" customHeight="false" outlineLevel="0" collapsed="false">
      <c r="A63" s="10" t="n">
        <f aca="false">Periodestart+57</f>
        <v>46294</v>
      </c>
      <c r="B63" s="11" t="str">
        <f aca="false">CHOOSE(WEEKDAY(A63,2),"mandag","tirsdag","onsdag","torsdag","fredag","lørdag","søndag")</f>
        <v>tirsdag</v>
      </c>
      <c r="C63" s="12" t="n">
        <v>0.333333333333333</v>
      </c>
      <c r="D63" s="12" t="n">
        <v>0.71875</v>
      </c>
      <c r="E63" s="13" t="n">
        <v>30</v>
      </c>
      <c r="F63" s="14" t="n">
        <f aca="false">IF(OR(C63="",D63=""),"",ROUND(MOD(D63-C63,1)*24-IF(TraekPause="Ja",N(E63)/60,0),2))</f>
        <v>9.25</v>
      </c>
      <c r="G63" s="15"/>
      <c r="H63" s="16"/>
      <c r="I63" s="17"/>
      <c r="J63" s="11" t="n">
        <f aca="false">INT((A63-Periodestart)/7)+1</f>
        <v>9</v>
      </c>
    </row>
    <row r="64" customFormat="false" ht="15" hidden="false" customHeight="false" outlineLevel="0" collapsed="false">
      <c r="A64" s="10" t="n">
        <f aca="false">Periodestart+58</f>
        <v>46295</v>
      </c>
      <c r="B64" s="11" t="str">
        <f aca="false">CHOOSE(WEEKDAY(A64,2),"mandag","tirsdag","onsdag","torsdag","fredag","lørdag","søndag")</f>
        <v>onsdag</v>
      </c>
      <c r="C64" s="12" t="n">
        <v>0.333333333333333</v>
      </c>
      <c r="D64" s="12" t="n">
        <v>0.708333333333333</v>
      </c>
      <c r="E64" s="13" t="n">
        <v>30</v>
      </c>
      <c r="F64" s="14" t="n">
        <f aca="false">IF(OR(C64="",D64=""),"",ROUND(MOD(D64-C64,1)*24-IF(TraekPause="Ja",N(E64)/60,0),2))</f>
        <v>9</v>
      </c>
      <c r="G64" s="15"/>
      <c r="H64" s="16"/>
      <c r="I64" s="17"/>
      <c r="J64" s="11" t="n">
        <f aca="false">INT((A64-Periodestart)/7)+1</f>
        <v>9</v>
      </c>
    </row>
    <row r="65" customFormat="false" ht="15" hidden="false" customHeight="false" outlineLevel="0" collapsed="false">
      <c r="A65" s="10" t="n">
        <f aca="false">Periodestart+59</f>
        <v>46296</v>
      </c>
      <c r="B65" s="11" t="str">
        <f aca="false">CHOOSE(WEEKDAY(A65,2),"mandag","tirsdag","onsdag","torsdag","fredag","lørdag","søndag")</f>
        <v>torsdag</v>
      </c>
      <c r="C65" s="12" t="n">
        <v>0.333333333333333</v>
      </c>
      <c r="D65" s="12" t="n">
        <v>0.697916666666667</v>
      </c>
      <c r="E65" s="13" t="n">
        <v>30</v>
      </c>
      <c r="F65" s="14" t="n">
        <f aca="false">IF(OR(C65="",D65=""),"",ROUND(MOD(D65-C65,1)*24-IF(TraekPause="Ja",N(E65)/60,0),2))</f>
        <v>8.75</v>
      </c>
      <c r="G65" s="15"/>
      <c r="H65" s="16"/>
      <c r="I65" s="17"/>
      <c r="J65" s="11" t="n">
        <f aca="false">INT((A65-Periodestart)/7)+1</f>
        <v>9</v>
      </c>
    </row>
    <row r="66" customFormat="false" ht="15" hidden="false" customHeight="false" outlineLevel="0" collapsed="false">
      <c r="A66" s="10" t="n">
        <f aca="false">Periodestart+60</f>
        <v>46297</v>
      </c>
      <c r="B66" s="11" t="str">
        <f aca="false">CHOOSE(WEEKDAY(A66,2),"mandag","tirsdag","onsdag","torsdag","fredag","lørdag","søndag")</f>
        <v>fredag</v>
      </c>
      <c r="C66" s="12" t="n">
        <v>0.333333333333333</v>
      </c>
      <c r="D66" s="12" t="n">
        <v>0.6875</v>
      </c>
      <c r="E66" s="13" t="n">
        <v>30</v>
      </c>
      <c r="F66" s="14" t="n">
        <f aca="false">IF(OR(C66="",D66=""),"",ROUND(MOD(D66-C66,1)*24-IF(TraekPause="Ja",N(E66)/60,0),2))</f>
        <v>8.5</v>
      </c>
      <c r="G66" s="15"/>
      <c r="H66" s="16"/>
      <c r="I66" s="17"/>
      <c r="J66" s="11" t="n">
        <f aca="false">INT((A66-Periodestart)/7)+1</f>
        <v>9</v>
      </c>
    </row>
    <row r="67" customFormat="false" ht="15" hidden="false" customHeight="false" outlineLevel="0" collapsed="false">
      <c r="A67" s="10" t="n">
        <f aca="false">Periodestart+61</f>
        <v>46298</v>
      </c>
      <c r="B67" s="11" t="str">
        <f aca="false">CHOOSE(WEEKDAY(A67,2),"mandag","tirsdag","onsdag","torsdag","fredag","lørdag","søndag")</f>
        <v>lørdag</v>
      </c>
      <c r="C67" s="12"/>
      <c r="D67" s="12"/>
      <c r="E67" s="13"/>
      <c r="F67" s="14" t="str">
        <f aca="false">IF(OR(C67="",D67=""),"",ROUND(MOD(D67-C67,1)*24-IF(TraekPause="Ja",N(E67)/60,0),2))</f>
        <v/>
      </c>
      <c r="G67" s="15"/>
      <c r="H67" s="16"/>
      <c r="I67" s="17"/>
      <c r="J67" s="11" t="n">
        <f aca="false">INT((A67-Periodestart)/7)+1</f>
        <v>9</v>
      </c>
    </row>
    <row r="68" customFormat="false" ht="15" hidden="false" customHeight="false" outlineLevel="0" collapsed="false">
      <c r="A68" s="10" t="n">
        <f aca="false">Periodestart+62</f>
        <v>46299</v>
      </c>
      <c r="B68" s="11" t="str">
        <f aca="false">CHOOSE(WEEKDAY(A68,2),"mandag","tirsdag","onsdag","torsdag","fredag","lørdag","søndag")</f>
        <v>søndag</v>
      </c>
      <c r="C68" s="12"/>
      <c r="D68" s="12"/>
      <c r="E68" s="13"/>
      <c r="F68" s="14" t="str">
        <f aca="false">IF(OR(C68="",D68=""),"",ROUND(MOD(D68-C68,1)*24-IF(TraekPause="Ja",N(E68)/60,0),2))</f>
        <v/>
      </c>
      <c r="G68" s="15"/>
      <c r="H68" s="16"/>
      <c r="I68" s="17"/>
      <c r="J68" s="11" t="n">
        <f aca="false">INT((A68-Periodestart)/7)+1</f>
        <v>9</v>
      </c>
    </row>
    <row r="69" customFormat="false" ht="15" hidden="false" customHeight="false" outlineLevel="0" collapsed="false">
      <c r="A69" s="10" t="n">
        <f aca="false">Periodestart+63</f>
        <v>46300</v>
      </c>
      <c r="B69" s="11" t="str">
        <f aca="false">CHOOSE(WEEKDAY(A69,2),"mandag","tirsdag","onsdag","torsdag","fredag","lørdag","søndag")</f>
        <v>mandag</v>
      </c>
      <c r="C69" s="12" t="n">
        <v>0.291666666666667</v>
      </c>
      <c r="D69" s="12" t="n">
        <v>0.7125</v>
      </c>
      <c r="E69" s="13" t="n">
        <v>30</v>
      </c>
      <c r="F69" s="14" t="n">
        <f aca="false">IF(OR(C69="",D69=""),"",ROUND(MOD(D69-C69,1)*24-IF(TraekPause="Ja",N(E69)/60,0),2))</f>
        <v>10.1</v>
      </c>
      <c r="G69" s="15"/>
      <c r="H69" s="16"/>
      <c r="I69" s="17"/>
      <c r="J69" s="11" t="n">
        <f aca="false">INT((A69-Periodestart)/7)+1</f>
        <v>10</v>
      </c>
    </row>
    <row r="70" customFormat="false" ht="15" hidden="false" customHeight="false" outlineLevel="0" collapsed="false">
      <c r="A70" s="10" t="n">
        <f aca="false">Periodestart+64</f>
        <v>46301</v>
      </c>
      <c r="B70" s="11" t="str">
        <f aca="false">CHOOSE(WEEKDAY(A70,2),"mandag","tirsdag","onsdag","torsdag","fredag","lørdag","søndag")</f>
        <v>tirsdag</v>
      </c>
      <c r="C70" s="12" t="n">
        <v>0.333333333333333</v>
      </c>
      <c r="D70" s="12" t="n">
        <v>0.74375</v>
      </c>
      <c r="E70" s="13" t="n">
        <v>30</v>
      </c>
      <c r="F70" s="14" t="n">
        <f aca="false">IF(OR(C70="",D70=""),"",ROUND(MOD(D70-C70,1)*24-IF(TraekPause="Ja",N(E70)/60,0),2))</f>
        <v>9.85</v>
      </c>
      <c r="G70" s="15"/>
      <c r="H70" s="16"/>
      <c r="I70" s="17"/>
      <c r="J70" s="11" t="n">
        <f aca="false">INT((A70-Periodestart)/7)+1</f>
        <v>10</v>
      </c>
    </row>
    <row r="71" customFormat="false" ht="15" hidden="false" customHeight="false" outlineLevel="0" collapsed="false">
      <c r="A71" s="10" t="n">
        <f aca="false">Periodestart+65</f>
        <v>46302</v>
      </c>
      <c r="B71" s="11" t="str">
        <f aca="false">CHOOSE(WEEKDAY(A71,2),"mandag","tirsdag","onsdag","torsdag","fredag","lørdag","søndag")</f>
        <v>onsdag</v>
      </c>
      <c r="C71" s="12" t="n">
        <v>0.333333333333333</v>
      </c>
      <c r="D71" s="12" t="n">
        <v>0.733333333333333</v>
      </c>
      <c r="E71" s="13" t="n">
        <v>30</v>
      </c>
      <c r="F71" s="14" t="n">
        <f aca="false">IF(OR(C71="",D71=""),"",ROUND(MOD(D71-C71,1)*24-IF(TraekPause="Ja",N(E71)/60,0),2))</f>
        <v>9.6</v>
      </c>
      <c r="G71" s="15"/>
      <c r="H71" s="16"/>
      <c r="I71" s="17"/>
      <c r="J71" s="11" t="n">
        <f aca="false">INT((A71-Periodestart)/7)+1</f>
        <v>10</v>
      </c>
    </row>
    <row r="72" customFormat="false" ht="15" hidden="false" customHeight="false" outlineLevel="0" collapsed="false">
      <c r="A72" s="10" t="n">
        <f aca="false">Periodestart+66</f>
        <v>46303</v>
      </c>
      <c r="B72" s="11" t="str">
        <f aca="false">CHOOSE(WEEKDAY(A72,2),"mandag","tirsdag","onsdag","torsdag","fredag","lørdag","søndag")</f>
        <v>torsdag</v>
      </c>
      <c r="C72" s="12" t="n">
        <v>0.333333333333333</v>
      </c>
      <c r="D72" s="12" t="n">
        <v>0.722916666666667</v>
      </c>
      <c r="E72" s="13" t="n">
        <v>30</v>
      </c>
      <c r="F72" s="14" t="n">
        <f aca="false">IF(OR(C72="",D72=""),"",ROUND(MOD(D72-C72,1)*24-IF(TraekPause="Ja",N(E72)/60,0),2))</f>
        <v>9.35</v>
      </c>
      <c r="G72" s="15"/>
      <c r="H72" s="16"/>
      <c r="I72" s="17"/>
      <c r="J72" s="11" t="n">
        <f aca="false">INT((A72-Periodestart)/7)+1</f>
        <v>10</v>
      </c>
    </row>
    <row r="73" customFormat="false" ht="15" hidden="false" customHeight="false" outlineLevel="0" collapsed="false">
      <c r="A73" s="10" t="n">
        <f aca="false">Periodestart+67</f>
        <v>46304</v>
      </c>
      <c r="B73" s="11" t="str">
        <f aca="false">CHOOSE(WEEKDAY(A73,2),"mandag","tirsdag","onsdag","torsdag","fredag","lørdag","søndag")</f>
        <v>fredag</v>
      </c>
      <c r="C73" s="12" t="n">
        <v>0.333333333333333</v>
      </c>
      <c r="D73" s="12" t="n">
        <v>0.7125</v>
      </c>
      <c r="E73" s="13" t="n">
        <v>30</v>
      </c>
      <c r="F73" s="14" t="n">
        <f aca="false">IF(OR(C73="",D73=""),"",ROUND(MOD(D73-C73,1)*24-IF(TraekPause="Ja",N(E73)/60,0),2))</f>
        <v>9.1</v>
      </c>
      <c r="G73" s="15"/>
      <c r="H73" s="16"/>
      <c r="I73" s="17"/>
      <c r="J73" s="11" t="n">
        <f aca="false">INT((A73-Periodestart)/7)+1</f>
        <v>10</v>
      </c>
    </row>
    <row r="74" customFormat="false" ht="15" hidden="false" customHeight="false" outlineLevel="0" collapsed="false">
      <c r="A74" s="10" t="n">
        <f aca="false">Periodestart+68</f>
        <v>46305</v>
      </c>
      <c r="B74" s="11" t="str">
        <f aca="false">CHOOSE(WEEKDAY(A74,2),"mandag","tirsdag","onsdag","torsdag","fredag","lørdag","søndag")</f>
        <v>lørdag</v>
      </c>
      <c r="C74" s="12"/>
      <c r="D74" s="12"/>
      <c r="E74" s="13"/>
      <c r="F74" s="14" t="str">
        <f aca="false">IF(OR(C74="",D74=""),"",ROUND(MOD(D74-C74,1)*24-IF(TraekPause="Ja",N(E74)/60,0),2))</f>
        <v/>
      </c>
      <c r="G74" s="15"/>
      <c r="H74" s="16"/>
      <c r="I74" s="17"/>
      <c r="J74" s="11" t="n">
        <f aca="false">INT((A74-Periodestart)/7)+1</f>
        <v>10</v>
      </c>
    </row>
    <row r="75" customFormat="false" ht="15" hidden="false" customHeight="false" outlineLevel="0" collapsed="false">
      <c r="A75" s="10" t="n">
        <f aca="false">Periodestart+69</f>
        <v>46306</v>
      </c>
      <c r="B75" s="11" t="str">
        <f aca="false">CHOOSE(WEEKDAY(A75,2),"mandag","tirsdag","onsdag","torsdag","fredag","lørdag","søndag")</f>
        <v>søndag</v>
      </c>
      <c r="C75" s="12"/>
      <c r="D75" s="12"/>
      <c r="E75" s="13"/>
      <c r="F75" s="14" t="str">
        <f aca="false">IF(OR(C75="",D75=""),"",ROUND(MOD(D75-C75,1)*24-IF(TraekPause="Ja",N(E75)/60,0),2))</f>
        <v/>
      </c>
      <c r="G75" s="15"/>
      <c r="H75" s="16"/>
      <c r="I75" s="17"/>
      <c r="J75" s="11" t="n">
        <f aca="false">INT((A75-Periodestart)/7)+1</f>
        <v>10</v>
      </c>
    </row>
    <row r="76" customFormat="false" ht="15" hidden="false" customHeight="false" outlineLevel="0" collapsed="false">
      <c r="A76" s="10" t="n">
        <f aca="false">Periodestart+70</f>
        <v>46307</v>
      </c>
      <c r="B76" s="11" t="str">
        <f aca="false">CHOOSE(WEEKDAY(A76,2),"mandag","tirsdag","onsdag","torsdag","fredag","lørdag","søndag")</f>
        <v>mandag</v>
      </c>
      <c r="C76" s="12" t="n">
        <v>0.291666666666667</v>
      </c>
      <c r="D76" s="12" t="n">
        <v>0.7625</v>
      </c>
      <c r="E76" s="13" t="n">
        <v>30</v>
      </c>
      <c r="F76" s="14" t="n">
        <f aca="false">IF(OR(C76="",D76=""),"",ROUND(MOD(D76-C76,1)*24-IF(TraekPause="Ja",N(E76)/60,0),2))</f>
        <v>11.3</v>
      </c>
      <c r="G76" s="15"/>
      <c r="H76" s="16"/>
      <c r="I76" s="17"/>
      <c r="J76" s="11" t="n">
        <f aca="false">INT((A76-Periodestart)/7)+1</f>
        <v>11</v>
      </c>
    </row>
    <row r="77" customFormat="false" ht="15" hidden="false" customHeight="false" outlineLevel="0" collapsed="false">
      <c r="A77" s="10" t="n">
        <f aca="false">Periodestart+71</f>
        <v>46308</v>
      </c>
      <c r="B77" s="11" t="str">
        <f aca="false">CHOOSE(WEEKDAY(A77,2),"mandag","tirsdag","onsdag","torsdag","fredag","lørdag","søndag")</f>
        <v>tirsdag</v>
      </c>
      <c r="C77" s="12" t="n">
        <v>0.291666666666667</v>
      </c>
      <c r="D77" s="12" t="n">
        <v>0.752083333333333</v>
      </c>
      <c r="E77" s="13" t="n">
        <v>30</v>
      </c>
      <c r="F77" s="14" t="n">
        <f aca="false">IF(OR(C77="",D77=""),"",ROUND(MOD(D77-C77,1)*24-IF(TraekPause="Ja",N(E77)/60,0),2))</f>
        <v>11.05</v>
      </c>
      <c r="G77" s="15"/>
      <c r="H77" s="16"/>
      <c r="I77" s="17" t="s">
        <v>20</v>
      </c>
      <c r="J77" s="11" t="n">
        <f aca="false">INT((A77-Periodestart)/7)+1</f>
        <v>11</v>
      </c>
    </row>
    <row r="78" customFormat="false" ht="15" hidden="false" customHeight="false" outlineLevel="0" collapsed="false">
      <c r="A78" s="10" t="n">
        <f aca="false">Periodestart+72</f>
        <v>46309</v>
      </c>
      <c r="B78" s="11" t="str">
        <f aca="false">CHOOSE(WEEKDAY(A78,2),"mandag","tirsdag","onsdag","torsdag","fredag","lørdag","søndag")</f>
        <v>onsdag</v>
      </c>
      <c r="C78" s="12" t="n">
        <v>0.291666666666667</v>
      </c>
      <c r="D78" s="12" t="n">
        <v>0.741666666666667</v>
      </c>
      <c r="E78" s="13" t="n">
        <v>30</v>
      </c>
      <c r="F78" s="14" t="n">
        <f aca="false">IF(OR(C78="",D78=""),"",ROUND(MOD(D78-C78,1)*24-IF(TraekPause="Ja",N(E78)/60,0),2))</f>
        <v>10.8</v>
      </c>
      <c r="G78" s="15"/>
      <c r="H78" s="16"/>
      <c r="I78" s="17"/>
      <c r="J78" s="11" t="n">
        <f aca="false">INT((A78-Periodestart)/7)+1</f>
        <v>11</v>
      </c>
    </row>
    <row r="79" customFormat="false" ht="15" hidden="false" customHeight="false" outlineLevel="0" collapsed="false">
      <c r="A79" s="10" t="n">
        <f aca="false">Periodestart+73</f>
        <v>46310</v>
      </c>
      <c r="B79" s="11" t="str">
        <f aca="false">CHOOSE(WEEKDAY(A79,2),"mandag","tirsdag","onsdag","torsdag","fredag","lørdag","søndag")</f>
        <v>torsdag</v>
      </c>
      <c r="C79" s="12" t="n">
        <v>0.291666666666667</v>
      </c>
      <c r="D79" s="12" t="n">
        <v>0.73125</v>
      </c>
      <c r="E79" s="13" t="n">
        <v>30</v>
      </c>
      <c r="F79" s="14" t="n">
        <f aca="false">IF(OR(C79="",D79=""),"",ROUND(MOD(D79-C79,1)*24-IF(TraekPause="Ja",N(E79)/60,0),2))</f>
        <v>10.55</v>
      </c>
      <c r="G79" s="15"/>
      <c r="H79" s="16"/>
      <c r="I79" s="17"/>
      <c r="J79" s="11" t="n">
        <f aca="false">INT((A79-Periodestart)/7)+1</f>
        <v>11</v>
      </c>
    </row>
    <row r="80" customFormat="false" ht="15" hidden="false" customHeight="false" outlineLevel="0" collapsed="false">
      <c r="A80" s="10" t="n">
        <f aca="false">Periodestart+74</f>
        <v>46311</v>
      </c>
      <c r="B80" s="11" t="str">
        <f aca="false">CHOOSE(WEEKDAY(A80,2),"mandag","tirsdag","onsdag","torsdag","fredag","lørdag","søndag")</f>
        <v>fredag</v>
      </c>
      <c r="C80" s="12" t="n">
        <v>0.291666666666667</v>
      </c>
      <c r="D80" s="12" t="n">
        <v>0.720833333333333</v>
      </c>
      <c r="E80" s="13" t="n">
        <v>30</v>
      </c>
      <c r="F80" s="14" t="n">
        <f aca="false">IF(OR(C80="",D80=""),"",ROUND(MOD(D80-C80,1)*24-IF(TraekPause="Ja",N(E80)/60,0),2))</f>
        <v>10.3</v>
      </c>
      <c r="G80" s="15"/>
      <c r="H80" s="16"/>
      <c r="I80" s="17"/>
      <c r="J80" s="11" t="n">
        <f aca="false">INT((A80-Periodestart)/7)+1</f>
        <v>11</v>
      </c>
    </row>
    <row r="81" customFormat="false" ht="15" hidden="false" customHeight="false" outlineLevel="0" collapsed="false">
      <c r="A81" s="10" t="n">
        <f aca="false">Periodestart+75</f>
        <v>46312</v>
      </c>
      <c r="B81" s="11" t="str">
        <f aca="false">CHOOSE(WEEKDAY(A81,2),"mandag","tirsdag","onsdag","torsdag","fredag","lørdag","søndag")</f>
        <v>lørdag</v>
      </c>
      <c r="C81" s="12"/>
      <c r="D81" s="12"/>
      <c r="E81" s="13"/>
      <c r="F81" s="14" t="str">
        <f aca="false">IF(OR(C81="",D81=""),"",ROUND(MOD(D81-C81,1)*24-IF(TraekPause="Ja",N(E81)/60,0),2))</f>
        <v/>
      </c>
      <c r="G81" s="15"/>
      <c r="H81" s="16"/>
      <c r="I81" s="17"/>
      <c r="J81" s="11" t="n">
        <f aca="false">INT((A81-Periodestart)/7)+1</f>
        <v>11</v>
      </c>
    </row>
    <row r="82" customFormat="false" ht="15" hidden="false" customHeight="false" outlineLevel="0" collapsed="false">
      <c r="A82" s="10" t="n">
        <f aca="false">Periodestart+76</f>
        <v>46313</v>
      </c>
      <c r="B82" s="11" t="str">
        <f aca="false">CHOOSE(WEEKDAY(A82,2),"mandag","tirsdag","onsdag","torsdag","fredag","lørdag","søndag")</f>
        <v>søndag</v>
      </c>
      <c r="C82" s="12"/>
      <c r="D82" s="12"/>
      <c r="E82" s="13"/>
      <c r="F82" s="14" t="str">
        <f aca="false">IF(OR(C82="",D82=""),"",ROUND(MOD(D82-C82,1)*24-IF(TraekPause="Ja",N(E82)/60,0),2))</f>
        <v/>
      </c>
      <c r="G82" s="15"/>
      <c r="H82" s="16"/>
      <c r="I82" s="17"/>
      <c r="J82" s="11" t="n">
        <f aca="false">INT((A82-Periodestart)/7)+1</f>
        <v>11</v>
      </c>
    </row>
    <row r="83" customFormat="false" ht="15" hidden="false" customHeight="false" outlineLevel="0" collapsed="false">
      <c r="A83" s="10" t="n">
        <f aca="false">Periodestart+77</f>
        <v>46314</v>
      </c>
      <c r="B83" s="11" t="str">
        <f aca="false">CHOOSE(WEEKDAY(A83,2),"mandag","tirsdag","onsdag","torsdag","fredag","lørdag","søndag")</f>
        <v>mandag</v>
      </c>
      <c r="C83" s="12"/>
      <c r="D83" s="12"/>
      <c r="E83" s="13"/>
      <c r="F83" s="14" t="str">
        <f aca="false">IF(OR(C83="",D83=""),"",ROUND(MOD(D83-C83,1)*24-IF(TraekPause="Ja",N(E83)/60,0),2))</f>
        <v/>
      </c>
      <c r="G83" s="15" t="s">
        <v>21</v>
      </c>
      <c r="H83" s="16" t="n">
        <v>7.4</v>
      </c>
      <c r="I83" s="17"/>
      <c r="J83" s="11" t="n">
        <f aca="false">INT((A83-Periodestart)/7)+1</f>
        <v>12</v>
      </c>
    </row>
    <row r="84" customFormat="false" ht="15" hidden="false" customHeight="false" outlineLevel="0" collapsed="false">
      <c r="A84" s="10" t="n">
        <f aca="false">Periodestart+78</f>
        <v>46315</v>
      </c>
      <c r="B84" s="11" t="str">
        <f aca="false">CHOOSE(WEEKDAY(A84,2),"mandag","tirsdag","onsdag","torsdag","fredag","lørdag","søndag")</f>
        <v>tirsdag</v>
      </c>
      <c r="C84" s="12"/>
      <c r="D84" s="12"/>
      <c r="E84" s="13"/>
      <c r="F84" s="14" t="str">
        <f aca="false">IF(OR(C84="",D84=""),"",ROUND(MOD(D84-C84,1)*24-IF(TraekPause="Ja",N(E84)/60,0),2))</f>
        <v/>
      </c>
      <c r="G84" s="15" t="s">
        <v>21</v>
      </c>
      <c r="H84" s="16" t="n">
        <v>7.4</v>
      </c>
      <c r="I84" s="17"/>
      <c r="J84" s="11" t="n">
        <f aca="false">INT((A84-Periodestart)/7)+1</f>
        <v>12</v>
      </c>
    </row>
    <row r="85" customFormat="false" ht="15" hidden="false" customHeight="false" outlineLevel="0" collapsed="false">
      <c r="A85" s="10" t="n">
        <f aca="false">Periodestart+79</f>
        <v>46316</v>
      </c>
      <c r="B85" s="11" t="str">
        <f aca="false">CHOOSE(WEEKDAY(A85,2),"mandag","tirsdag","onsdag","torsdag","fredag","lørdag","søndag")</f>
        <v>onsdag</v>
      </c>
      <c r="C85" s="12"/>
      <c r="D85" s="12"/>
      <c r="E85" s="13"/>
      <c r="F85" s="14" t="str">
        <f aca="false">IF(OR(C85="",D85=""),"",ROUND(MOD(D85-C85,1)*24-IF(TraekPause="Ja",N(E85)/60,0),2))</f>
        <v/>
      </c>
      <c r="G85" s="15" t="s">
        <v>21</v>
      </c>
      <c r="H85" s="16" t="n">
        <v>7.4</v>
      </c>
      <c r="I85" s="17"/>
      <c r="J85" s="11" t="n">
        <f aca="false">INT((A85-Periodestart)/7)+1</f>
        <v>12</v>
      </c>
    </row>
    <row r="86" customFormat="false" ht="15" hidden="false" customHeight="false" outlineLevel="0" collapsed="false">
      <c r="A86" s="10" t="n">
        <f aca="false">Periodestart+80</f>
        <v>46317</v>
      </c>
      <c r="B86" s="11" t="str">
        <f aca="false">CHOOSE(WEEKDAY(A86,2),"mandag","tirsdag","onsdag","torsdag","fredag","lørdag","søndag")</f>
        <v>torsdag</v>
      </c>
      <c r="C86" s="12"/>
      <c r="D86" s="12"/>
      <c r="E86" s="13"/>
      <c r="F86" s="14" t="str">
        <f aca="false">IF(OR(C86="",D86=""),"",ROUND(MOD(D86-C86,1)*24-IF(TraekPause="Ja",N(E86)/60,0),2))</f>
        <v/>
      </c>
      <c r="G86" s="15" t="s">
        <v>21</v>
      </c>
      <c r="H86" s="16" t="n">
        <v>7.4</v>
      </c>
      <c r="I86" s="17"/>
      <c r="J86" s="11" t="n">
        <f aca="false">INT((A86-Periodestart)/7)+1</f>
        <v>12</v>
      </c>
    </row>
    <row r="87" customFormat="false" ht="15" hidden="false" customHeight="false" outlineLevel="0" collapsed="false">
      <c r="A87" s="10" t="n">
        <f aca="false">Periodestart+81</f>
        <v>46318</v>
      </c>
      <c r="B87" s="11" t="str">
        <f aca="false">CHOOSE(WEEKDAY(A87,2),"mandag","tirsdag","onsdag","torsdag","fredag","lørdag","søndag")</f>
        <v>fredag</v>
      </c>
      <c r="C87" s="12"/>
      <c r="D87" s="12"/>
      <c r="E87" s="13"/>
      <c r="F87" s="14" t="str">
        <f aca="false">IF(OR(C87="",D87=""),"",ROUND(MOD(D87-C87,1)*24-IF(TraekPause="Ja",N(E87)/60,0),2))</f>
        <v/>
      </c>
      <c r="G87" s="15" t="s">
        <v>21</v>
      </c>
      <c r="H87" s="16" t="n">
        <v>7.4</v>
      </c>
      <c r="I87" s="17"/>
      <c r="J87" s="11" t="n">
        <f aca="false">INT((A87-Periodestart)/7)+1</f>
        <v>12</v>
      </c>
    </row>
    <row r="88" customFormat="false" ht="15" hidden="false" customHeight="false" outlineLevel="0" collapsed="false">
      <c r="A88" s="10" t="n">
        <f aca="false">Periodestart+82</f>
        <v>46319</v>
      </c>
      <c r="B88" s="11" t="str">
        <f aca="false">CHOOSE(WEEKDAY(A88,2),"mandag","tirsdag","onsdag","torsdag","fredag","lørdag","søndag")</f>
        <v>lørdag</v>
      </c>
      <c r="C88" s="12"/>
      <c r="D88" s="12"/>
      <c r="E88" s="13"/>
      <c r="F88" s="14" t="str">
        <f aca="false">IF(OR(C88="",D88=""),"",ROUND(MOD(D88-C88,1)*24-IF(TraekPause="Ja",N(E88)/60,0),2))</f>
        <v/>
      </c>
      <c r="G88" s="15"/>
      <c r="H88" s="16"/>
      <c r="I88" s="17"/>
      <c r="J88" s="11" t="n">
        <f aca="false">INT((A88-Periodestart)/7)+1</f>
        <v>12</v>
      </c>
    </row>
    <row r="89" customFormat="false" ht="15" hidden="false" customHeight="false" outlineLevel="0" collapsed="false">
      <c r="A89" s="10" t="n">
        <f aca="false">Periodestart+83</f>
        <v>46320</v>
      </c>
      <c r="B89" s="11" t="str">
        <f aca="false">CHOOSE(WEEKDAY(A89,2),"mandag","tirsdag","onsdag","torsdag","fredag","lørdag","søndag")</f>
        <v>søndag</v>
      </c>
      <c r="C89" s="12"/>
      <c r="D89" s="12"/>
      <c r="E89" s="13"/>
      <c r="F89" s="14" t="str">
        <f aca="false">IF(OR(C89="",D89=""),"",ROUND(MOD(D89-C89,1)*24-IF(TraekPause="Ja",N(E89)/60,0),2))</f>
        <v/>
      </c>
      <c r="G89" s="15"/>
      <c r="H89" s="16"/>
      <c r="I89" s="17"/>
      <c r="J89" s="11" t="n">
        <f aca="false">INT((A89-Periodestart)/7)+1</f>
        <v>12</v>
      </c>
    </row>
    <row r="90" customFormat="false" ht="15" hidden="false" customHeight="false" outlineLevel="0" collapsed="false">
      <c r="A90" s="10" t="n">
        <f aca="false">Periodestart+84</f>
        <v>46321</v>
      </c>
      <c r="B90" s="11" t="str">
        <f aca="false">CHOOSE(WEEKDAY(A90,2),"mandag","tirsdag","onsdag","torsdag","fredag","lørdag","søndag")</f>
        <v>mandag</v>
      </c>
      <c r="C90" s="12" t="n">
        <v>0.333333333333333</v>
      </c>
      <c r="D90" s="12" t="n">
        <v>0.666666666666667</v>
      </c>
      <c r="E90" s="13" t="n">
        <v>30</v>
      </c>
      <c r="F90" s="14" t="n">
        <f aca="false">IF(OR(C90="",D90=""),"",ROUND(MOD(D90-C90,1)*24-IF(TraekPause="Ja",N(E90)/60,0),2))</f>
        <v>8</v>
      </c>
      <c r="G90" s="15"/>
      <c r="H90" s="16"/>
      <c r="I90" s="17"/>
      <c r="J90" s="11" t="n">
        <f aca="false">INT((A90-Periodestart)/7)+1</f>
        <v>13</v>
      </c>
    </row>
    <row r="91" customFormat="false" ht="15" hidden="false" customHeight="false" outlineLevel="0" collapsed="false">
      <c r="A91" s="10" t="n">
        <f aca="false">Periodestart+85</f>
        <v>46322</v>
      </c>
      <c r="B91" s="11" t="str">
        <f aca="false">CHOOSE(WEEKDAY(A91,2),"mandag","tirsdag","onsdag","torsdag","fredag","lørdag","søndag")</f>
        <v>tirsdag</v>
      </c>
      <c r="C91" s="12" t="n">
        <v>0.333333333333333</v>
      </c>
      <c r="D91" s="12" t="n">
        <v>0.666666666666667</v>
      </c>
      <c r="E91" s="13" t="n">
        <v>30</v>
      </c>
      <c r="F91" s="14" t="n">
        <f aca="false">IF(OR(C91="",D91=""),"",ROUND(MOD(D91-C91,1)*24-IF(TraekPause="Ja",N(E91)/60,0),2))</f>
        <v>8</v>
      </c>
      <c r="G91" s="15"/>
      <c r="H91" s="16"/>
      <c r="I91" s="17"/>
      <c r="J91" s="11" t="n">
        <f aca="false">INT((A91-Periodestart)/7)+1</f>
        <v>13</v>
      </c>
    </row>
    <row r="92" customFormat="false" ht="15" hidden="false" customHeight="false" outlineLevel="0" collapsed="false">
      <c r="A92" s="10" t="n">
        <f aca="false">Periodestart+86</f>
        <v>46323</v>
      </c>
      <c r="B92" s="11" t="str">
        <f aca="false">CHOOSE(WEEKDAY(A92,2),"mandag","tirsdag","onsdag","torsdag","fredag","lørdag","søndag")</f>
        <v>onsdag</v>
      </c>
      <c r="C92" s="12" t="n">
        <v>0.333333333333333</v>
      </c>
      <c r="D92" s="12" t="n">
        <v>0.666666666666667</v>
      </c>
      <c r="E92" s="13" t="n">
        <v>30</v>
      </c>
      <c r="F92" s="14" t="n">
        <f aca="false">IF(OR(C92="",D92=""),"",ROUND(MOD(D92-C92,1)*24-IF(TraekPause="Ja",N(E92)/60,0),2))</f>
        <v>8</v>
      </c>
      <c r="G92" s="15"/>
      <c r="H92" s="16"/>
      <c r="I92" s="17"/>
      <c r="J92" s="11" t="n">
        <f aca="false">INT((A92-Periodestart)/7)+1</f>
        <v>13</v>
      </c>
    </row>
    <row r="93" customFormat="false" ht="15" hidden="false" customHeight="false" outlineLevel="0" collapsed="false">
      <c r="A93" s="10" t="n">
        <f aca="false">Periodestart+87</f>
        <v>46324</v>
      </c>
      <c r="B93" s="11" t="str">
        <f aca="false">CHOOSE(WEEKDAY(A93,2),"mandag","tirsdag","onsdag","torsdag","fredag","lørdag","søndag")</f>
        <v>torsdag</v>
      </c>
      <c r="C93" s="12" t="n">
        <v>0.333333333333333</v>
      </c>
      <c r="D93" s="12" t="n">
        <v>0.666666666666667</v>
      </c>
      <c r="E93" s="13" t="n">
        <v>30</v>
      </c>
      <c r="F93" s="14" t="n">
        <f aca="false">IF(OR(C93="",D93=""),"",ROUND(MOD(D93-C93,1)*24-IF(TraekPause="Ja",N(E93)/60,0),2))</f>
        <v>8</v>
      </c>
      <c r="G93" s="15"/>
      <c r="H93" s="16"/>
      <c r="I93" s="17"/>
      <c r="J93" s="11" t="n">
        <f aca="false">INT((A93-Periodestart)/7)+1</f>
        <v>13</v>
      </c>
    </row>
    <row r="94" customFormat="false" ht="15" hidden="false" customHeight="false" outlineLevel="0" collapsed="false">
      <c r="A94" s="10" t="n">
        <f aca="false">Periodestart+88</f>
        <v>46325</v>
      </c>
      <c r="B94" s="11" t="str">
        <f aca="false">CHOOSE(WEEKDAY(A94,2),"mandag","tirsdag","onsdag","torsdag","fredag","lørdag","søndag")</f>
        <v>fredag</v>
      </c>
      <c r="C94" s="12"/>
      <c r="D94" s="12"/>
      <c r="E94" s="13"/>
      <c r="F94" s="14" t="str">
        <f aca="false">IF(OR(C94="",D94=""),"",ROUND(MOD(D94-C94,1)*24-IF(TraekPause="Ja",N(E94)/60,0),2))</f>
        <v/>
      </c>
      <c r="G94" s="15" t="s">
        <v>22</v>
      </c>
      <c r="H94" s="16"/>
      <c r="I94" s="17" t="s">
        <v>23</v>
      </c>
      <c r="J94" s="11" t="n">
        <f aca="false">INT((A94-Periodestart)/7)+1</f>
        <v>13</v>
      </c>
    </row>
    <row r="95" customFormat="false" ht="15" hidden="false" customHeight="false" outlineLevel="0" collapsed="false">
      <c r="A95" s="10" t="n">
        <f aca="false">Periodestart+89</f>
        <v>46326</v>
      </c>
      <c r="B95" s="11" t="str">
        <f aca="false">CHOOSE(WEEKDAY(A95,2),"mandag","tirsdag","onsdag","torsdag","fredag","lørdag","søndag")</f>
        <v>lørdag</v>
      </c>
      <c r="C95" s="12"/>
      <c r="D95" s="12"/>
      <c r="E95" s="13"/>
      <c r="F95" s="14" t="str">
        <f aca="false">IF(OR(C95="",D95=""),"",ROUND(MOD(D95-C95,1)*24-IF(TraekPause="Ja",N(E95)/60,0),2))</f>
        <v/>
      </c>
      <c r="G95" s="15"/>
      <c r="H95" s="16"/>
      <c r="I95" s="17"/>
      <c r="J95" s="11" t="n">
        <f aca="false">INT((A95-Periodestart)/7)+1</f>
        <v>13</v>
      </c>
    </row>
    <row r="96" customFormat="false" ht="15" hidden="false" customHeight="false" outlineLevel="0" collapsed="false">
      <c r="A96" s="10" t="n">
        <f aca="false">Periodestart+90</f>
        <v>46327</v>
      </c>
      <c r="B96" s="11" t="str">
        <f aca="false">CHOOSE(WEEKDAY(A96,2),"mandag","tirsdag","onsdag","torsdag","fredag","lørdag","søndag")</f>
        <v>søndag</v>
      </c>
      <c r="C96" s="12"/>
      <c r="D96" s="12"/>
      <c r="E96" s="13"/>
      <c r="F96" s="14" t="str">
        <f aca="false">IF(OR(C96="",D96=""),"",ROUND(MOD(D96-C96,1)*24-IF(TraekPause="Ja",N(E96)/60,0),2))</f>
        <v/>
      </c>
      <c r="G96" s="15"/>
      <c r="H96" s="16"/>
      <c r="I96" s="17"/>
      <c r="J96" s="11" t="n">
        <f aca="false">INT((A96-Periodestart)/7)+1</f>
        <v>13</v>
      </c>
    </row>
    <row r="97" customFormat="false" ht="15" hidden="false" customHeight="false" outlineLevel="0" collapsed="false">
      <c r="A97" s="10" t="n">
        <f aca="false">Periodestart+91</f>
        <v>46328</v>
      </c>
      <c r="B97" s="11" t="str">
        <f aca="false">CHOOSE(WEEKDAY(A97,2),"mandag","tirsdag","onsdag","torsdag","fredag","lørdag","søndag")</f>
        <v>mandag</v>
      </c>
      <c r="C97" s="12" t="n">
        <v>0.333333333333333</v>
      </c>
      <c r="D97" s="12" t="n">
        <v>0.6875</v>
      </c>
      <c r="E97" s="13" t="n">
        <v>30</v>
      </c>
      <c r="F97" s="14" t="n">
        <f aca="false">IF(OR(C97="",D97=""),"",ROUND(MOD(D97-C97,1)*24-IF(TraekPause="Ja",N(E97)/60,0),2))</f>
        <v>8.5</v>
      </c>
      <c r="G97" s="15"/>
      <c r="H97" s="16"/>
      <c r="I97" s="17"/>
      <c r="J97" s="11" t="n">
        <f aca="false">INT((A97-Periodestart)/7)+1</f>
        <v>14</v>
      </c>
    </row>
    <row r="98" customFormat="false" ht="15" hidden="false" customHeight="false" outlineLevel="0" collapsed="false">
      <c r="A98" s="10" t="n">
        <f aca="false">Periodestart+92</f>
        <v>46329</v>
      </c>
      <c r="B98" s="11" t="str">
        <f aca="false">CHOOSE(WEEKDAY(A98,2),"mandag","tirsdag","onsdag","torsdag","fredag","lørdag","søndag")</f>
        <v>tirsdag</v>
      </c>
      <c r="C98" s="12" t="n">
        <v>0.333333333333333</v>
      </c>
      <c r="D98" s="12" t="n">
        <v>0.677083333333333</v>
      </c>
      <c r="E98" s="13" t="n">
        <v>30</v>
      </c>
      <c r="F98" s="14" t="n">
        <f aca="false">IF(OR(C98="",D98=""),"",ROUND(MOD(D98-C98,1)*24-IF(TraekPause="Ja",N(E98)/60,0),2))</f>
        <v>8.25</v>
      </c>
      <c r="G98" s="15"/>
      <c r="H98" s="16"/>
      <c r="I98" s="17"/>
      <c r="J98" s="11" t="n">
        <f aca="false">INT((A98-Periodestart)/7)+1</f>
        <v>14</v>
      </c>
    </row>
    <row r="99" customFormat="false" ht="15" hidden="false" customHeight="false" outlineLevel="0" collapsed="false">
      <c r="A99" s="10" t="n">
        <f aca="false">Periodestart+93</f>
        <v>46330</v>
      </c>
      <c r="B99" s="11" t="str">
        <f aca="false">CHOOSE(WEEKDAY(A99,2),"mandag","tirsdag","onsdag","torsdag","fredag","lørdag","søndag")</f>
        <v>onsdag</v>
      </c>
      <c r="C99" s="12" t="n">
        <v>0.333333333333333</v>
      </c>
      <c r="D99" s="12" t="n">
        <v>0.666666666666667</v>
      </c>
      <c r="E99" s="13" t="n">
        <v>30</v>
      </c>
      <c r="F99" s="14" t="n">
        <f aca="false">IF(OR(C99="",D99=""),"",ROUND(MOD(D99-C99,1)*24-IF(TraekPause="Ja",N(E99)/60,0),2))</f>
        <v>8</v>
      </c>
      <c r="G99" s="15"/>
      <c r="H99" s="16"/>
      <c r="I99" s="17"/>
      <c r="J99" s="11" t="n">
        <f aca="false">INT((A99-Periodestart)/7)+1</f>
        <v>14</v>
      </c>
    </row>
    <row r="100" customFormat="false" ht="15" hidden="false" customHeight="false" outlineLevel="0" collapsed="false">
      <c r="A100" s="10" t="n">
        <f aca="false">Periodestart+94</f>
        <v>46331</v>
      </c>
      <c r="B100" s="11" t="str">
        <f aca="false">CHOOSE(WEEKDAY(A100,2),"mandag","tirsdag","onsdag","torsdag","fredag","lørdag","søndag")</f>
        <v>torsdag</v>
      </c>
      <c r="C100" s="12" t="n">
        <v>0.333333333333333</v>
      </c>
      <c r="D100" s="12" t="n">
        <v>0.65625</v>
      </c>
      <c r="E100" s="13" t="n">
        <v>30</v>
      </c>
      <c r="F100" s="14" t="n">
        <f aca="false">IF(OR(C100="",D100=""),"",ROUND(MOD(D100-C100,1)*24-IF(TraekPause="Ja",N(E100)/60,0),2))</f>
        <v>7.75</v>
      </c>
      <c r="G100" s="15"/>
      <c r="H100" s="16"/>
      <c r="I100" s="17"/>
      <c r="J100" s="11" t="n">
        <f aca="false">INT((A100-Periodestart)/7)+1</f>
        <v>14</v>
      </c>
    </row>
    <row r="101" customFormat="false" ht="15" hidden="false" customHeight="false" outlineLevel="0" collapsed="false">
      <c r="A101" s="10" t="n">
        <f aca="false">Periodestart+95</f>
        <v>46332</v>
      </c>
      <c r="B101" s="11" t="str">
        <f aca="false">CHOOSE(WEEKDAY(A101,2),"mandag","tirsdag","onsdag","torsdag","fredag","lørdag","søndag")</f>
        <v>fredag</v>
      </c>
      <c r="C101" s="12" t="n">
        <v>0.333333333333333</v>
      </c>
      <c r="D101" s="12" t="n">
        <v>0.645833333333333</v>
      </c>
      <c r="E101" s="13" t="n">
        <v>30</v>
      </c>
      <c r="F101" s="14" t="n">
        <f aca="false">IF(OR(C101="",D101=""),"",ROUND(MOD(D101-C101,1)*24-IF(TraekPause="Ja",N(E101)/60,0),2))</f>
        <v>7.5</v>
      </c>
      <c r="G101" s="15"/>
      <c r="H101" s="16"/>
      <c r="I101" s="17"/>
      <c r="J101" s="11" t="n">
        <f aca="false">INT((A101-Periodestart)/7)+1</f>
        <v>14</v>
      </c>
    </row>
    <row r="102" customFormat="false" ht="15" hidden="false" customHeight="false" outlineLevel="0" collapsed="false">
      <c r="A102" s="10" t="n">
        <f aca="false">Periodestart+96</f>
        <v>46333</v>
      </c>
      <c r="B102" s="11" t="str">
        <f aca="false">CHOOSE(WEEKDAY(A102,2),"mandag","tirsdag","onsdag","torsdag","fredag","lørdag","søndag")</f>
        <v>lørdag</v>
      </c>
      <c r="C102" s="12"/>
      <c r="D102" s="12"/>
      <c r="E102" s="13"/>
      <c r="F102" s="14" t="str">
        <f aca="false">IF(OR(C102="",D102=""),"",ROUND(MOD(D102-C102,1)*24-IF(TraekPause="Ja",N(E102)/60,0),2))</f>
        <v/>
      </c>
      <c r="G102" s="15"/>
      <c r="H102" s="16"/>
      <c r="I102" s="17"/>
      <c r="J102" s="11" t="n">
        <f aca="false">INT((A102-Periodestart)/7)+1</f>
        <v>14</v>
      </c>
    </row>
    <row r="103" customFormat="false" ht="15" hidden="false" customHeight="false" outlineLevel="0" collapsed="false">
      <c r="A103" s="10" t="n">
        <f aca="false">Periodestart+97</f>
        <v>46334</v>
      </c>
      <c r="B103" s="11" t="str">
        <f aca="false">CHOOSE(WEEKDAY(A103,2),"mandag","tirsdag","onsdag","torsdag","fredag","lørdag","søndag")</f>
        <v>søndag</v>
      </c>
      <c r="C103" s="12"/>
      <c r="D103" s="12"/>
      <c r="E103" s="13"/>
      <c r="F103" s="14" t="str">
        <f aca="false">IF(OR(C103="",D103=""),"",ROUND(MOD(D103-C103,1)*24-IF(TraekPause="Ja",N(E103)/60,0),2))</f>
        <v/>
      </c>
      <c r="G103" s="15"/>
      <c r="H103" s="16"/>
      <c r="I103" s="17"/>
      <c r="J103" s="11" t="n">
        <f aca="false">INT((A103-Periodestart)/7)+1</f>
        <v>14</v>
      </c>
    </row>
    <row r="104" customFormat="false" ht="15" hidden="false" customHeight="false" outlineLevel="0" collapsed="false">
      <c r="A104" s="10" t="n">
        <f aca="false">Periodestart+98</f>
        <v>46335</v>
      </c>
      <c r="B104" s="11" t="str">
        <f aca="false">CHOOSE(WEEKDAY(A104,2),"mandag","tirsdag","onsdag","torsdag","fredag","lørdag","søndag")</f>
        <v>mandag</v>
      </c>
      <c r="C104" s="12" t="n">
        <v>0.333333333333333</v>
      </c>
      <c r="D104" s="12" t="n">
        <v>0.729166666666667</v>
      </c>
      <c r="E104" s="13" t="n">
        <v>30</v>
      </c>
      <c r="F104" s="14" t="n">
        <f aca="false">IF(OR(C104="",D104=""),"",ROUND(MOD(D104-C104,1)*24-IF(TraekPause="Ja",N(E104)/60,0),2))</f>
        <v>9.5</v>
      </c>
      <c r="G104" s="15"/>
      <c r="H104" s="16"/>
      <c r="I104" s="17"/>
      <c r="J104" s="11" t="n">
        <f aca="false">INT((A104-Periodestart)/7)+1</f>
        <v>15</v>
      </c>
    </row>
    <row r="105" customFormat="false" ht="15" hidden="false" customHeight="false" outlineLevel="0" collapsed="false">
      <c r="A105" s="10" t="n">
        <f aca="false">Periodestart+99</f>
        <v>46336</v>
      </c>
      <c r="B105" s="11" t="str">
        <f aca="false">CHOOSE(WEEKDAY(A105,2),"mandag","tirsdag","onsdag","torsdag","fredag","lørdag","søndag")</f>
        <v>tirsdag</v>
      </c>
      <c r="C105" s="12" t="n">
        <v>0.333333333333333</v>
      </c>
      <c r="D105" s="12" t="n">
        <v>0.71875</v>
      </c>
      <c r="E105" s="13" t="n">
        <v>30</v>
      </c>
      <c r="F105" s="14" t="n">
        <f aca="false">IF(OR(C105="",D105=""),"",ROUND(MOD(D105-C105,1)*24-IF(TraekPause="Ja",N(E105)/60,0),2))</f>
        <v>9.25</v>
      </c>
      <c r="G105" s="15"/>
      <c r="H105" s="16"/>
      <c r="I105" s="17"/>
      <c r="J105" s="11" t="n">
        <f aca="false">INT((A105-Periodestart)/7)+1</f>
        <v>15</v>
      </c>
    </row>
    <row r="106" customFormat="false" ht="15" hidden="false" customHeight="false" outlineLevel="0" collapsed="false">
      <c r="A106" s="10" t="n">
        <f aca="false">Periodestart+100</f>
        <v>46337</v>
      </c>
      <c r="B106" s="11" t="str">
        <f aca="false">CHOOSE(WEEKDAY(A106,2),"mandag","tirsdag","onsdag","torsdag","fredag","lørdag","søndag")</f>
        <v>onsdag</v>
      </c>
      <c r="C106" s="12" t="n">
        <v>0.333333333333333</v>
      </c>
      <c r="D106" s="12" t="n">
        <v>0.708333333333333</v>
      </c>
      <c r="E106" s="13" t="n">
        <v>30</v>
      </c>
      <c r="F106" s="14" t="n">
        <f aca="false">IF(OR(C106="",D106=""),"",ROUND(MOD(D106-C106,1)*24-IF(TraekPause="Ja",N(E106)/60,0),2))</f>
        <v>9</v>
      </c>
      <c r="G106" s="15"/>
      <c r="H106" s="16"/>
      <c r="I106" s="17"/>
      <c r="J106" s="11" t="n">
        <f aca="false">INT((A106-Periodestart)/7)+1</f>
        <v>15</v>
      </c>
    </row>
    <row r="107" customFormat="false" ht="15" hidden="false" customHeight="false" outlineLevel="0" collapsed="false">
      <c r="A107" s="10" t="n">
        <f aca="false">Periodestart+101</f>
        <v>46338</v>
      </c>
      <c r="B107" s="11" t="str">
        <f aca="false">CHOOSE(WEEKDAY(A107,2),"mandag","tirsdag","onsdag","torsdag","fredag","lørdag","søndag")</f>
        <v>torsdag</v>
      </c>
      <c r="C107" s="12" t="n">
        <v>0.333333333333333</v>
      </c>
      <c r="D107" s="12" t="n">
        <v>0.697916666666667</v>
      </c>
      <c r="E107" s="13" t="n">
        <v>30</v>
      </c>
      <c r="F107" s="14" t="n">
        <f aca="false">IF(OR(C107="",D107=""),"",ROUND(MOD(D107-C107,1)*24-IF(TraekPause="Ja",N(E107)/60,0),2))</f>
        <v>8.75</v>
      </c>
      <c r="G107" s="15"/>
      <c r="H107" s="16"/>
      <c r="I107" s="17"/>
      <c r="J107" s="11" t="n">
        <f aca="false">INT((A107-Periodestart)/7)+1</f>
        <v>15</v>
      </c>
    </row>
    <row r="108" customFormat="false" ht="15" hidden="false" customHeight="false" outlineLevel="0" collapsed="false">
      <c r="A108" s="10" t="n">
        <f aca="false">Periodestart+102</f>
        <v>46339</v>
      </c>
      <c r="B108" s="11" t="str">
        <f aca="false">CHOOSE(WEEKDAY(A108,2),"mandag","tirsdag","onsdag","torsdag","fredag","lørdag","søndag")</f>
        <v>fredag</v>
      </c>
      <c r="C108" s="12" t="n">
        <v>0.333333333333333</v>
      </c>
      <c r="D108" s="12" t="n">
        <v>0.6875</v>
      </c>
      <c r="E108" s="13" t="n">
        <v>30</v>
      </c>
      <c r="F108" s="14" t="n">
        <f aca="false">IF(OR(C108="",D108=""),"",ROUND(MOD(D108-C108,1)*24-IF(TraekPause="Ja",N(E108)/60,0),2))</f>
        <v>8.5</v>
      </c>
      <c r="G108" s="15"/>
      <c r="H108" s="16"/>
      <c r="I108" s="17"/>
      <c r="J108" s="11" t="n">
        <f aca="false">INT((A108-Periodestart)/7)+1</f>
        <v>15</v>
      </c>
    </row>
    <row r="109" customFormat="false" ht="15" hidden="false" customHeight="false" outlineLevel="0" collapsed="false">
      <c r="A109" s="10" t="n">
        <f aca="false">Periodestart+103</f>
        <v>46340</v>
      </c>
      <c r="B109" s="11" t="str">
        <f aca="false">CHOOSE(WEEKDAY(A109,2),"mandag","tirsdag","onsdag","torsdag","fredag","lørdag","søndag")</f>
        <v>lørdag</v>
      </c>
      <c r="C109" s="12"/>
      <c r="D109" s="12"/>
      <c r="E109" s="13"/>
      <c r="F109" s="14" t="str">
        <f aca="false">IF(OR(C109="",D109=""),"",ROUND(MOD(D109-C109,1)*24-IF(TraekPause="Ja",N(E109)/60,0),2))</f>
        <v/>
      </c>
      <c r="G109" s="15"/>
      <c r="H109" s="16"/>
      <c r="I109" s="17"/>
      <c r="J109" s="11" t="n">
        <f aca="false">INT((A109-Periodestart)/7)+1</f>
        <v>15</v>
      </c>
    </row>
    <row r="110" customFormat="false" ht="15" hidden="false" customHeight="false" outlineLevel="0" collapsed="false">
      <c r="A110" s="10" t="n">
        <f aca="false">Periodestart+104</f>
        <v>46341</v>
      </c>
      <c r="B110" s="11" t="str">
        <f aca="false">CHOOSE(WEEKDAY(A110,2),"mandag","tirsdag","onsdag","torsdag","fredag","lørdag","søndag")</f>
        <v>søndag</v>
      </c>
      <c r="C110" s="12"/>
      <c r="D110" s="12"/>
      <c r="E110" s="13"/>
      <c r="F110" s="14" t="str">
        <f aca="false">IF(OR(C110="",D110=""),"",ROUND(MOD(D110-C110,1)*24-IF(TraekPause="Ja",N(E110)/60,0),2))</f>
        <v/>
      </c>
      <c r="G110" s="15"/>
      <c r="H110" s="16"/>
      <c r="I110" s="17"/>
      <c r="J110" s="11" t="n">
        <f aca="false">INT((A110-Periodestart)/7)+1</f>
        <v>15</v>
      </c>
    </row>
    <row r="111" customFormat="false" ht="15" hidden="false" customHeight="false" outlineLevel="0" collapsed="false">
      <c r="A111" s="10" t="n">
        <f aca="false">Periodestart+105</f>
        <v>46342</v>
      </c>
      <c r="B111" s="11" t="str">
        <f aca="false">CHOOSE(WEEKDAY(A111,2),"mandag","tirsdag","onsdag","torsdag","fredag","lørdag","søndag")</f>
        <v>mandag</v>
      </c>
      <c r="C111" s="12" t="n">
        <v>0.333333333333333</v>
      </c>
      <c r="D111" s="12" t="n">
        <v>0.6625</v>
      </c>
      <c r="E111" s="13" t="n">
        <v>30</v>
      </c>
      <c r="F111" s="14" t="n">
        <f aca="false">IF(OR(C111="",D111=""),"",ROUND(MOD(D111-C111,1)*24-IF(TraekPause="Ja",N(E111)/60,0),2))</f>
        <v>7.9</v>
      </c>
      <c r="G111" s="15"/>
      <c r="H111" s="16"/>
      <c r="I111" s="17"/>
      <c r="J111" s="11" t="n">
        <f aca="false">INT((A111-Periodestart)/7)+1</f>
        <v>16</v>
      </c>
    </row>
    <row r="112" customFormat="false" ht="15" hidden="false" customHeight="false" outlineLevel="0" collapsed="false">
      <c r="A112" s="10" t="n">
        <f aca="false">Periodestart+106</f>
        <v>46343</v>
      </c>
      <c r="B112" s="11" t="str">
        <f aca="false">CHOOSE(WEEKDAY(A112,2),"mandag","tirsdag","onsdag","torsdag","fredag","lørdag","søndag")</f>
        <v>tirsdag</v>
      </c>
      <c r="C112" s="12" t="n">
        <v>0.333333333333333</v>
      </c>
      <c r="D112" s="12" t="n">
        <v>0.652083333333333</v>
      </c>
      <c r="E112" s="13" t="n">
        <v>30</v>
      </c>
      <c r="F112" s="14" t="n">
        <f aca="false">IF(OR(C112="",D112=""),"",ROUND(MOD(D112-C112,1)*24-IF(TraekPause="Ja",N(E112)/60,0),2))</f>
        <v>7.65</v>
      </c>
      <c r="G112" s="15"/>
      <c r="H112" s="16"/>
      <c r="I112" s="17"/>
      <c r="J112" s="11" t="n">
        <f aca="false">INT((A112-Periodestart)/7)+1</f>
        <v>16</v>
      </c>
    </row>
    <row r="113" customFormat="false" ht="15" hidden="false" customHeight="false" outlineLevel="0" collapsed="false">
      <c r="A113" s="10" t="n">
        <f aca="false">Periodestart+107</f>
        <v>46344</v>
      </c>
      <c r="B113" s="11" t="str">
        <f aca="false">CHOOSE(WEEKDAY(A113,2),"mandag","tirsdag","onsdag","torsdag","fredag","lørdag","søndag")</f>
        <v>onsdag</v>
      </c>
      <c r="C113" s="12" t="n">
        <v>0.333333333333333</v>
      </c>
      <c r="D113" s="12" t="n">
        <v>0.641666666666667</v>
      </c>
      <c r="E113" s="13" t="n">
        <v>30</v>
      </c>
      <c r="F113" s="14" t="n">
        <f aca="false">IF(OR(C113="",D113=""),"",ROUND(MOD(D113-C113,1)*24-IF(TraekPause="Ja",N(E113)/60,0),2))</f>
        <v>7.4</v>
      </c>
      <c r="G113" s="15"/>
      <c r="H113" s="16"/>
      <c r="I113" s="17"/>
      <c r="J113" s="11" t="n">
        <f aca="false">INT((A113-Periodestart)/7)+1</f>
        <v>16</v>
      </c>
    </row>
    <row r="114" customFormat="false" ht="15" hidden="false" customHeight="false" outlineLevel="0" collapsed="false">
      <c r="A114" s="10" t="n">
        <f aca="false">Periodestart+108</f>
        <v>46345</v>
      </c>
      <c r="B114" s="11" t="str">
        <f aca="false">CHOOSE(WEEKDAY(A114,2),"mandag","tirsdag","onsdag","torsdag","fredag","lørdag","søndag")</f>
        <v>torsdag</v>
      </c>
      <c r="C114" s="12" t="n">
        <v>0.333333333333333</v>
      </c>
      <c r="D114" s="12" t="n">
        <v>0.63125</v>
      </c>
      <c r="E114" s="13" t="n">
        <v>30</v>
      </c>
      <c r="F114" s="14" t="n">
        <f aca="false">IF(OR(C114="",D114=""),"",ROUND(MOD(D114-C114,1)*24-IF(TraekPause="Ja",N(E114)/60,0),2))</f>
        <v>7.15</v>
      </c>
      <c r="G114" s="15"/>
      <c r="H114" s="16"/>
      <c r="I114" s="17"/>
      <c r="J114" s="11" t="n">
        <f aca="false">INT((A114-Periodestart)/7)+1</f>
        <v>16</v>
      </c>
    </row>
    <row r="115" customFormat="false" ht="15" hidden="false" customHeight="false" outlineLevel="0" collapsed="false">
      <c r="A115" s="10" t="n">
        <f aca="false">Periodestart+109</f>
        <v>46346</v>
      </c>
      <c r="B115" s="11" t="str">
        <f aca="false">CHOOSE(WEEKDAY(A115,2),"mandag","tirsdag","onsdag","torsdag","fredag","lørdag","søndag")</f>
        <v>fredag</v>
      </c>
      <c r="C115" s="12" t="n">
        <v>0.333333333333333</v>
      </c>
      <c r="D115" s="12" t="n">
        <v>0.620833333333333</v>
      </c>
      <c r="E115" s="13" t="n">
        <v>30</v>
      </c>
      <c r="F115" s="14" t="n">
        <f aca="false">IF(OR(C115="",D115=""),"",ROUND(MOD(D115-C115,1)*24-IF(TraekPause="Ja",N(E115)/60,0),2))</f>
        <v>6.9</v>
      </c>
      <c r="G115" s="15"/>
      <c r="H115" s="16"/>
      <c r="I115" s="17"/>
      <c r="J115" s="11" t="n">
        <f aca="false">INT((A115-Periodestart)/7)+1</f>
        <v>16</v>
      </c>
    </row>
    <row r="116" customFormat="false" ht="15" hidden="false" customHeight="false" outlineLevel="0" collapsed="false">
      <c r="A116" s="10" t="n">
        <f aca="false">Periodestart+110</f>
        <v>46347</v>
      </c>
      <c r="B116" s="11" t="str">
        <f aca="false">CHOOSE(WEEKDAY(A116,2),"mandag","tirsdag","onsdag","torsdag","fredag","lørdag","søndag")</f>
        <v>lørdag</v>
      </c>
      <c r="C116" s="12"/>
      <c r="D116" s="12"/>
      <c r="E116" s="13"/>
      <c r="F116" s="14" t="str">
        <f aca="false">IF(OR(C116="",D116=""),"",ROUND(MOD(D116-C116,1)*24-IF(TraekPause="Ja",N(E116)/60,0),2))</f>
        <v/>
      </c>
      <c r="G116" s="15"/>
      <c r="H116" s="16"/>
      <c r="I116" s="17"/>
      <c r="J116" s="11" t="n">
        <f aca="false">INT((A116-Periodestart)/7)+1</f>
        <v>16</v>
      </c>
    </row>
    <row r="117" customFormat="false" ht="15" hidden="false" customHeight="false" outlineLevel="0" collapsed="false">
      <c r="A117" s="10" t="n">
        <f aca="false">Periodestart+111</f>
        <v>46348</v>
      </c>
      <c r="B117" s="11" t="str">
        <f aca="false">CHOOSE(WEEKDAY(A117,2),"mandag","tirsdag","onsdag","torsdag","fredag","lørdag","søndag")</f>
        <v>søndag</v>
      </c>
      <c r="C117" s="12"/>
      <c r="D117" s="12"/>
      <c r="E117" s="13"/>
      <c r="F117" s="14" t="str">
        <f aca="false">IF(OR(C117="",D117=""),"",ROUND(MOD(D117-C117,1)*24-IF(TraekPause="Ja",N(E117)/60,0),2))</f>
        <v/>
      </c>
      <c r="G117" s="15"/>
      <c r="H117" s="16"/>
      <c r="I117" s="17"/>
      <c r="J117" s="11" t="n">
        <f aca="false">INT((A117-Periodestart)/7)+1</f>
        <v>16</v>
      </c>
    </row>
    <row r="118" customFormat="false" ht="15" hidden="false" customHeight="false" outlineLevel="0" collapsed="false">
      <c r="A118" s="10" t="n">
        <f aca="false">Periodestart+112</f>
        <v>46349</v>
      </c>
      <c r="B118" s="11" t="str">
        <f aca="false">CHOOSE(WEEKDAY(A118,2),"mandag","tirsdag","onsdag","torsdag","fredag","lørdag","søndag")</f>
        <v>mandag</v>
      </c>
      <c r="C118" s="12" t="n">
        <v>0.333333333333333</v>
      </c>
      <c r="D118" s="12" t="n">
        <v>0.654166666666667</v>
      </c>
      <c r="E118" s="13" t="n">
        <v>30</v>
      </c>
      <c r="F118" s="14" t="n">
        <f aca="false">IF(OR(C118="",D118=""),"",ROUND(MOD(D118-C118,1)*24-IF(TraekPause="Ja",N(E118)/60,0),2))</f>
        <v>7.7</v>
      </c>
      <c r="G118" s="15"/>
      <c r="H118" s="16"/>
      <c r="I118" s="17"/>
      <c r="J118" s="11" t="n">
        <f aca="false">INT((A118-Periodestart)/7)+1</f>
        <v>17</v>
      </c>
    </row>
    <row r="119" customFormat="false" ht="15" hidden="false" customHeight="false" outlineLevel="0" collapsed="false">
      <c r="A119" s="10" t="n">
        <f aca="false">Periodestart+113</f>
        <v>46350</v>
      </c>
      <c r="B119" s="11" t="str">
        <f aca="false">CHOOSE(WEEKDAY(A119,2),"mandag","tirsdag","onsdag","torsdag","fredag","lørdag","søndag")</f>
        <v>tirsdag</v>
      </c>
      <c r="C119" s="12" t="n">
        <v>0.333333333333333</v>
      </c>
      <c r="D119" s="12" t="n">
        <v>0.64375</v>
      </c>
      <c r="E119" s="13" t="n">
        <v>30</v>
      </c>
      <c r="F119" s="14" t="n">
        <f aca="false">IF(OR(C119="",D119=""),"",ROUND(MOD(D119-C119,1)*24-IF(TraekPause="Ja",N(E119)/60,0),2))</f>
        <v>7.45</v>
      </c>
      <c r="G119" s="15"/>
      <c r="H119" s="16"/>
      <c r="I119" s="17"/>
      <c r="J119" s="11" t="n">
        <f aca="false">INT((A119-Periodestart)/7)+1</f>
        <v>17</v>
      </c>
    </row>
    <row r="120" customFormat="false" ht="15" hidden="false" customHeight="false" outlineLevel="0" collapsed="false">
      <c r="A120" s="10" t="n">
        <f aca="false">Periodestart+114</f>
        <v>46351</v>
      </c>
      <c r="B120" s="11" t="str">
        <f aca="false">CHOOSE(WEEKDAY(A120,2),"mandag","tirsdag","onsdag","torsdag","fredag","lørdag","søndag")</f>
        <v>onsdag</v>
      </c>
      <c r="C120" s="12" t="n">
        <v>0.333333333333333</v>
      </c>
      <c r="D120" s="12" t="n">
        <v>0.633333333333333</v>
      </c>
      <c r="E120" s="13" t="n">
        <v>30</v>
      </c>
      <c r="F120" s="14" t="n">
        <f aca="false">IF(OR(C120="",D120=""),"",ROUND(MOD(D120-C120,1)*24-IF(TraekPause="Ja",N(E120)/60,0),2))</f>
        <v>7.2</v>
      </c>
      <c r="G120" s="15"/>
      <c r="H120" s="16"/>
      <c r="I120" s="17"/>
      <c r="J120" s="11" t="n">
        <f aca="false">INT((A120-Periodestart)/7)+1</f>
        <v>17</v>
      </c>
    </row>
    <row r="121" customFormat="false" ht="15" hidden="false" customHeight="false" outlineLevel="0" collapsed="false">
      <c r="A121" s="10" t="n">
        <f aca="false">Periodestart+115</f>
        <v>46352</v>
      </c>
      <c r="B121" s="11" t="str">
        <f aca="false">CHOOSE(WEEKDAY(A121,2),"mandag","tirsdag","onsdag","torsdag","fredag","lørdag","søndag")</f>
        <v>torsdag</v>
      </c>
      <c r="C121" s="12" t="n">
        <v>0.333333333333333</v>
      </c>
      <c r="D121" s="12" t="n">
        <v>0.622916666666667</v>
      </c>
      <c r="E121" s="13" t="n">
        <v>30</v>
      </c>
      <c r="F121" s="14" t="n">
        <f aca="false">IF(OR(C121="",D121=""),"",ROUND(MOD(D121-C121,1)*24-IF(TraekPause="Ja",N(E121)/60,0),2))</f>
        <v>6.95</v>
      </c>
      <c r="G121" s="15"/>
      <c r="H121" s="16"/>
      <c r="I121" s="17"/>
      <c r="J121" s="11" t="n">
        <f aca="false">INT((A121-Periodestart)/7)+1</f>
        <v>17</v>
      </c>
    </row>
    <row r="122" customFormat="false" ht="15" hidden="false" customHeight="false" outlineLevel="0" collapsed="false">
      <c r="A122" s="10" t="n">
        <f aca="false">Periodestart+116</f>
        <v>46353</v>
      </c>
      <c r="B122" s="11" t="str">
        <f aca="false">CHOOSE(WEEKDAY(A122,2),"mandag","tirsdag","onsdag","torsdag","fredag","lørdag","søndag")</f>
        <v>fredag</v>
      </c>
      <c r="C122" s="12" t="n">
        <v>0.333333333333333</v>
      </c>
      <c r="D122" s="12" t="n">
        <v>0.6125</v>
      </c>
      <c r="E122" s="13" t="n">
        <v>30</v>
      </c>
      <c r="F122" s="14" t="n">
        <f aca="false">IF(OR(C122="",D122=""),"",ROUND(MOD(D122-C122,1)*24-IF(TraekPause="Ja",N(E122)/60,0),2))</f>
        <v>6.7</v>
      </c>
      <c r="G122" s="15"/>
      <c r="H122" s="16"/>
      <c r="I122" s="17"/>
      <c r="J122" s="11" t="n">
        <f aca="false">INT((A122-Periodestart)/7)+1</f>
        <v>17</v>
      </c>
    </row>
    <row r="123" customFormat="false" ht="15" hidden="false" customHeight="false" outlineLevel="0" collapsed="false">
      <c r="A123" s="10" t="n">
        <f aca="false">Periodestart+117</f>
        <v>46354</v>
      </c>
      <c r="B123" s="11" t="str">
        <f aca="false">CHOOSE(WEEKDAY(A123,2),"mandag","tirsdag","onsdag","torsdag","fredag","lørdag","søndag")</f>
        <v>lørdag</v>
      </c>
      <c r="C123" s="12"/>
      <c r="D123" s="12"/>
      <c r="E123" s="13"/>
      <c r="F123" s="14" t="str">
        <f aca="false">IF(OR(C123="",D123=""),"",ROUND(MOD(D123-C123,1)*24-IF(TraekPause="Ja",N(E123)/60,0),2))</f>
        <v/>
      </c>
      <c r="G123" s="15"/>
      <c r="H123" s="16"/>
      <c r="I123" s="17"/>
      <c r="J123" s="11" t="n">
        <f aca="false">INT((A123-Periodestart)/7)+1</f>
        <v>17</v>
      </c>
    </row>
    <row r="124" customFormat="false" ht="15" hidden="false" customHeight="false" outlineLevel="0" collapsed="false">
      <c r="A124" s="10" t="n">
        <f aca="false">Periodestart+118</f>
        <v>46355</v>
      </c>
      <c r="B124" s="11" t="str">
        <f aca="false">CHOOSE(WEEKDAY(A124,2),"mandag","tirsdag","onsdag","torsdag","fredag","lørdag","søndag")</f>
        <v>søndag</v>
      </c>
      <c r="C124" s="12"/>
      <c r="D124" s="12"/>
      <c r="E124" s="13"/>
      <c r="F124" s="14" t="str">
        <f aca="false">IF(OR(C124="",D124=""),"",ROUND(MOD(D124-C124,1)*24-IF(TraekPause="Ja",N(E124)/60,0),2))</f>
        <v/>
      </c>
      <c r="G124" s="15"/>
      <c r="H124" s="16"/>
      <c r="I124" s="17"/>
      <c r="J124" s="11" t="n">
        <f aca="false">INT((A124-Periodestart)/7)+1</f>
        <v>17</v>
      </c>
    </row>
    <row r="126" customFormat="false" ht="15" hidden="false" customHeight="false" outlineLevel="0" collapsed="false">
      <c r="A126" s="2" t="s">
        <v>24</v>
      </c>
    </row>
  </sheetData>
  <sheetProtection sheet="true"/>
  <mergeCells count="4">
    <mergeCell ref="B2:D2"/>
    <mergeCell ref="E2:F2"/>
    <mergeCell ref="H2:J2"/>
    <mergeCell ref="A3:J3"/>
  </mergeCells>
  <conditionalFormatting sqref="A6:J124">
    <cfRule type="expression" priority="2" aboveAverage="0" equalAverage="0" bottom="0" percent="0" rank="0" text="" dxfId="0">
      <formula>WEEKDAY($A6,2)&gt;5</formula>
    </cfRule>
  </conditionalFormatting>
  <dataValidations count="4">
    <dataValidation allowBlank="false" errorStyle="stop" operator="between" showDropDown="false" showErrorMessage="false" showInputMessage="false" sqref="G2" type="list">
      <formula1>"Ja,Nej"</formula1>
      <formula2>0</formula2>
    </dataValidation>
    <dataValidation allowBlank="true" errorStyle="stop" operator="between" showDropDown="false" showErrorMessage="false" showInputMessage="false" sqref="G6:G124" type="list">
      <formula1>"Ferie,Sygdom,Fri,—"</formula1>
      <formula2>0</formula2>
    </dataValidation>
    <dataValidation allowBlank="true" error="Skriv timer mellem 0 og 24 (fx 7,4)." errorStyle="stop" errorTitle="Ugyldig værdi" operator="between" showDropDown="false" showErrorMessage="true" showInputMessage="false" sqref="H6:H124" type="decimal">
      <formula1>0</formula1>
      <formula2>24</formula2>
    </dataValidation>
    <dataValidation allowBlank="true" error="Skriv pausen i minutter (fx 30)." errorStyle="stop" errorTitle="Ugyldig værdi" operator="between" showDropDown="false" showErrorMessage="true" showInputMessage="false" sqref="E6:E124" type="whole">
      <formula1>0</formula1>
      <formula2>600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5" min="5" style="0" width="17"/>
    <col collapsed="false" customWidth="true" hidden="false" outlineLevel="0" max="6" min="6" style="0" width="14"/>
    <col collapsed="false" customWidth="true" hidden="false" outlineLevel="0" max="7" min="7" style="0" width="15"/>
  </cols>
  <sheetData>
    <row r="1" customFormat="false" ht="17.35" hidden="false" customHeight="false" outlineLevel="0" collapsed="false">
      <c r="A1" s="1" t="s">
        <v>25</v>
      </c>
    </row>
    <row r="3" customFormat="false" ht="15" hidden="false" customHeight="false" outlineLevel="0" collapsed="false">
      <c r="A3" s="3" t="s">
        <v>26</v>
      </c>
      <c r="B3" s="18" t="n">
        <v>46237</v>
      </c>
      <c r="D3" s="2" t="s">
        <v>1</v>
      </c>
    </row>
    <row r="4" customFormat="false" ht="15" hidden="false" customHeight="false" outlineLevel="0" collapsed="false">
      <c r="A4" s="3" t="s">
        <v>27</v>
      </c>
      <c r="B4" s="19" t="s">
        <v>28</v>
      </c>
      <c r="C4" s="19"/>
      <c r="D4" s="2" t="s">
        <v>29</v>
      </c>
    </row>
    <row r="5" customFormat="false" ht="15" hidden="false" customHeight="false" outlineLevel="0" collapsed="false">
      <c r="A5" s="3" t="s">
        <v>30</v>
      </c>
      <c r="B5" s="10" t="n">
        <f aca="false">MAX(_xlfn.MAXIFS('Daglig registrering'!$A$6:$A$124,'Daglig registrering'!$F$6:$F$124,"&gt;0"),_xlfn.MAXIFS('Daglig registrering'!$A$6:$A$124,'Daglig registrering'!$G$6:$G$124,"Ferie"),_xlfn.MAXIFS('Daglig registrering'!$A$6:$A$124,'Daglig registrering'!$G$6:$G$124,"Sygdom"),_xlfn.MAXIFS('Daglig registrering'!$A$6:$A$124,'Daglig registrering'!$G$6:$G$124,"Fri"))</f>
        <v>46353</v>
      </c>
      <c r="D5" s="2" t="s">
        <v>31</v>
      </c>
    </row>
    <row r="6" customFormat="false" ht="45.75" hidden="false" customHeight="true" outlineLevel="0" collapsed="false">
      <c r="A6" s="8" t="s">
        <v>32</v>
      </c>
      <c r="B6" s="8" t="s">
        <v>33</v>
      </c>
      <c r="C6" s="8" t="s">
        <v>34</v>
      </c>
      <c r="D6" s="8" t="s">
        <v>35</v>
      </c>
      <c r="E6" s="8" t="s">
        <v>36</v>
      </c>
      <c r="F6" s="8" t="s">
        <v>37</v>
      </c>
      <c r="G6" s="8" t="s">
        <v>38</v>
      </c>
    </row>
    <row r="7" customFormat="false" ht="15" hidden="false" customHeight="false" outlineLevel="0" collapsed="false">
      <c r="A7" s="20" t="n">
        <v>1</v>
      </c>
      <c r="B7" s="21" t="n">
        <f aca="false">IF(OR($B$5=0,G7&gt;$B$5),"",ROUND(SUMIFS('Daglig registrering'!$F$6:$F$124,'Daglig registrering'!$J$6:$J$124,A7),2))</f>
        <v>37</v>
      </c>
      <c r="C7" s="21" t="n">
        <f aca="false">IF(B7="","",ROUND(SUMIFS('Daglig registrering'!$H$6:$H$124,'Daglig registrering'!$J$6:$J$124,A7,'Daglig registrering'!$G$6:$G$124,"Ferie")+SUMIFS('Daglig registrering'!$H$6:$H$124,'Daglig registrering'!$J$6:$J$124,A7,'Daglig registrering'!$G$6:$G$124,"Sygdom"),2))</f>
        <v>0</v>
      </c>
      <c r="D7" s="21" t="n">
        <f aca="false">IF(B7="","",B7+C7)</f>
        <v>37</v>
      </c>
      <c r="E7" s="21" t="n">
        <f aca="false">IF(D7="","",SUM($D$7:D7)/A7)</f>
        <v>37</v>
      </c>
      <c r="F7" s="11" t="str">
        <f aca="false">IF(E7="","",IF(E7&lt;=48,"Ja","Nej"))</f>
        <v>Ja</v>
      </c>
      <c r="G7" s="10" t="n">
        <f aca="false">Periodestart+0</f>
        <v>46237</v>
      </c>
    </row>
    <row r="8" customFormat="false" ht="15" hidden="false" customHeight="false" outlineLevel="0" collapsed="false">
      <c r="A8" s="20" t="n">
        <v>2</v>
      </c>
      <c r="B8" s="21" t="n">
        <f aca="false">IF(OR($B$5=0,G8&gt;$B$5),"",ROUND(SUMIFS('Daglig registrering'!$F$6:$F$124,'Daglig registrering'!$J$6:$J$124,A8),2))</f>
        <v>42</v>
      </c>
      <c r="C8" s="21" t="n">
        <f aca="false">IF(B8="","",ROUND(SUMIFS('Daglig registrering'!$H$6:$H$124,'Daglig registrering'!$J$6:$J$124,A8,'Daglig registrering'!$G$6:$G$124,"Ferie")+SUMIFS('Daglig registrering'!$H$6:$H$124,'Daglig registrering'!$J$6:$J$124,A8,'Daglig registrering'!$G$6:$G$124,"Sygdom"),2))</f>
        <v>0</v>
      </c>
      <c r="D8" s="21" t="n">
        <f aca="false">IF(B8="","",B8+C8)</f>
        <v>42</v>
      </c>
      <c r="E8" s="21" t="n">
        <f aca="false">IF(D8="","",SUM($D$7:D8)/A8)</f>
        <v>39.5</v>
      </c>
      <c r="F8" s="11" t="str">
        <f aca="false">IF(E8="","",IF(E8&lt;=48,"Ja","Nej"))</f>
        <v>Ja</v>
      </c>
      <c r="G8" s="10" t="n">
        <f aca="false">Periodestart+7</f>
        <v>46244</v>
      </c>
    </row>
    <row r="9" customFormat="false" ht="15" hidden="false" customHeight="false" outlineLevel="0" collapsed="false">
      <c r="A9" s="20" t="n">
        <v>3</v>
      </c>
      <c r="B9" s="21" t="n">
        <f aca="false">IF(OR($B$5=0,G9&gt;$B$5),"",ROUND(SUMIFS('Daglig registrering'!$F$6:$F$124,'Daglig registrering'!$J$6:$J$124,A9),2))</f>
        <v>52</v>
      </c>
      <c r="C9" s="21" t="n">
        <f aca="false">IF(B9="","",ROUND(SUMIFS('Daglig registrering'!$H$6:$H$124,'Daglig registrering'!$J$6:$J$124,A9,'Daglig registrering'!$G$6:$G$124,"Ferie")+SUMIFS('Daglig registrering'!$H$6:$H$124,'Daglig registrering'!$J$6:$J$124,A9,'Daglig registrering'!$G$6:$G$124,"Sygdom"),2))</f>
        <v>0</v>
      </c>
      <c r="D9" s="21" t="n">
        <f aca="false">IF(B9="","",B9+C9)</f>
        <v>52</v>
      </c>
      <c r="E9" s="21" t="n">
        <f aca="false">IF(D9="","",SUM($D$7:D9)/A9)</f>
        <v>43.6666666666667</v>
      </c>
      <c r="F9" s="11" t="str">
        <f aca="false">IF(E9="","",IF(E9&lt;=48,"Ja","Nej"))</f>
        <v>Ja</v>
      </c>
      <c r="G9" s="10" t="n">
        <f aca="false">Periodestart+14</f>
        <v>46251</v>
      </c>
    </row>
    <row r="10" customFormat="false" ht="15" hidden="false" customHeight="false" outlineLevel="0" collapsed="false">
      <c r="A10" s="20" t="n">
        <v>4</v>
      </c>
      <c r="B10" s="21" t="n">
        <f aca="false">IF(OR($B$5=0,G10&gt;$B$5),"",ROUND(SUMIFS('Daglig registrering'!$F$6:$F$124,'Daglig registrering'!$J$6:$J$124,A10),2))</f>
        <v>55</v>
      </c>
      <c r="C10" s="21" t="n">
        <f aca="false">IF(B10="","",ROUND(SUMIFS('Daglig registrering'!$H$6:$H$124,'Daglig registrering'!$J$6:$J$124,A10,'Daglig registrering'!$G$6:$G$124,"Ferie")+SUMIFS('Daglig registrering'!$H$6:$H$124,'Daglig registrering'!$J$6:$J$124,A10,'Daglig registrering'!$G$6:$G$124,"Sygdom"),2))</f>
        <v>0</v>
      </c>
      <c r="D10" s="21" t="n">
        <f aca="false">IF(B10="","",B10+C10)</f>
        <v>55</v>
      </c>
      <c r="E10" s="21" t="n">
        <f aca="false">IF(D10="","",SUM($D$7:D10)/A10)</f>
        <v>46.5</v>
      </c>
      <c r="F10" s="11" t="str">
        <f aca="false">IF(E10="","",IF(E10&lt;=48,"Ja","Nej"))</f>
        <v>Ja</v>
      </c>
      <c r="G10" s="10" t="n">
        <f aca="false">Periodestart+21</f>
        <v>46258</v>
      </c>
    </row>
    <row r="11" customFormat="false" ht="15" hidden="false" customHeight="false" outlineLevel="0" collapsed="false">
      <c r="A11" s="20" t="n">
        <v>5</v>
      </c>
      <c r="B11" s="21" t="n">
        <f aca="false">IF(OR($B$5=0,G11&gt;$B$5),"",ROUND(SUMIFS('Daglig registrering'!$F$6:$F$124,'Daglig registrering'!$J$6:$J$124,A11),2))</f>
        <v>50</v>
      </c>
      <c r="C11" s="21" t="n">
        <f aca="false">IF(B11="","",ROUND(SUMIFS('Daglig registrering'!$H$6:$H$124,'Daglig registrering'!$J$6:$J$124,A11,'Daglig registrering'!$G$6:$G$124,"Ferie")+SUMIFS('Daglig registrering'!$H$6:$H$124,'Daglig registrering'!$J$6:$J$124,A11,'Daglig registrering'!$G$6:$G$124,"Sygdom"),2))</f>
        <v>0</v>
      </c>
      <c r="D11" s="21" t="n">
        <f aca="false">IF(B11="","",B11+C11)</f>
        <v>50</v>
      </c>
      <c r="E11" s="21" t="n">
        <f aca="false">IF(D11="","",SUM($D$7:D11)/A11)</f>
        <v>47.2</v>
      </c>
      <c r="F11" s="11" t="str">
        <f aca="false">IF(E11="","",IF(E11&lt;=48,"Ja","Nej"))</f>
        <v>Ja</v>
      </c>
      <c r="G11" s="10" t="n">
        <f aca="false">Periodestart+28</f>
        <v>46265</v>
      </c>
    </row>
    <row r="12" customFormat="false" ht="15" hidden="false" customHeight="false" outlineLevel="0" collapsed="false">
      <c r="A12" s="20" t="n">
        <v>6</v>
      </c>
      <c r="B12" s="21" t="n">
        <f aca="false">IF(OR($B$5=0,G12&gt;$B$5),"",ROUND(SUMIFS('Daglig registrering'!$F$6:$F$124,'Daglig registrering'!$J$6:$J$124,A12),2))</f>
        <v>37</v>
      </c>
      <c r="C12" s="21" t="n">
        <f aca="false">IF(B12="","",ROUND(SUMIFS('Daglig registrering'!$H$6:$H$124,'Daglig registrering'!$J$6:$J$124,A12,'Daglig registrering'!$G$6:$G$124,"Ferie")+SUMIFS('Daglig registrering'!$H$6:$H$124,'Daglig registrering'!$J$6:$J$124,A12,'Daglig registrering'!$G$6:$G$124,"Sygdom"),2))</f>
        <v>0</v>
      </c>
      <c r="D12" s="21" t="n">
        <f aca="false">IF(B12="","",B12+C12)</f>
        <v>37</v>
      </c>
      <c r="E12" s="21" t="n">
        <f aca="false">IF(D12="","",SUM($D$7:D12)/A12)</f>
        <v>45.5</v>
      </c>
      <c r="F12" s="11" t="str">
        <f aca="false">IF(E12="","",IF(E12&lt;=48,"Ja","Nej"))</f>
        <v>Ja</v>
      </c>
      <c r="G12" s="10" t="n">
        <f aca="false">Periodestart+35</f>
        <v>46272</v>
      </c>
    </row>
    <row r="13" customFormat="false" ht="15" hidden="false" customHeight="false" outlineLevel="0" collapsed="false">
      <c r="A13" s="20" t="n">
        <v>7</v>
      </c>
      <c r="B13" s="21" t="n">
        <f aca="false">IF(OR($B$5=0,G13&gt;$B$5),"",ROUND(SUMIFS('Daglig registrering'!$F$6:$F$124,'Daglig registrering'!$J$6:$J$124,A13),2))</f>
        <v>0</v>
      </c>
      <c r="C13" s="21" t="n">
        <f aca="false">IF(B13="","",ROUND(SUMIFS('Daglig registrering'!$H$6:$H$124,'Daglig registrering'!$J$6:$J$124,A13,'Daglig registrering'!$G$6:$G$124,"Ferie")+SUMIFS('Daglig registrering'!$H$6:$H$124,'Daglig registrering'!$J$6:$J$124,A13,'Daglig registrering'!$G$6:$G$124,"Sygdom"),2))</f>
        <v>37</v>
      </c>
      <c r="D13" s="21" t="n">
        <f aca="false">IF(B13="","",B13+C13)</f>
        <v>37</v>
      </c>
      <c r="E13" s="21" t="n">
        <f aca="false">IF(D13="","",SUM($D$7:D13)/A13)</f>
        <v>44.2857142857143</v>
      </c>
      <c r="F13" s="11" t="str">
        <f aca="false">IF(E13="","",IF(E13&lt;=48,"Ja","Nej"))</f>
        <v>Ja</v>
      </c>
      <c r="G13" s="10" t="n">
        <f aca="false">Periodestart+42</f>
        <v>46279</v>
      </c>
    </row>
    <row r="14" customFormat="false" ht="15" hidden="false" customHeight="false" outlineLevel="0" collapsed="false">
      <c r="A14" s="20" t="n">
        <v>8</v>
      </c>
      <c r="B14" s="21" t="n">
        <f aca="false">IF(OR($B$5=0,G14&gt;$B$5),"",ROUND(SUMIFS('Daglig registrering'!$F$6:$F$124,'Daglig registrering'!$J$6:$J$124,A14),2))</f>
        <v>35</v>
      </c>
      <c r="C14" s="21" t="n">
        <f aca="false">IF(B14="","",ROUND(SUMIFS('Daglig registrering'!$H$6:$H$124,'Daglig registrering'!$J$6:$J$124,A14,'Daglig registrering'!$G$6:$G$124,"Ferie")+SUMIFS('Daglig registrering'!$H$6:$H$124,'Daglig registrering'!$J$6:$J$124,A14,'Daglig registrering'!$G$6:$G$124,"Sygdom"),2))</f>
        <v>0</v>
      </c>
      <c r="D14" s="21" t="n">
        <f aca="false">IF(B14="","",B14+C14)</f>
        <v>35</v>
      </c>
      <c r="E14" s="21" t="n">
        <f aca="false">IF(D14="","",SUM($D$7:D14)/A14)</f>
        <v>43.125</v>
      </c>
      <c r="F14" s="11" t="str">
        <f aca="false">IF(E14="","",IF(E14&lt;=48,"Ja","Nej"))</f>
        <v>Ja</v>
      </c>
      <c r="G14" s="10" t="n">
        <f aca="false">Periodestart+49</f>
        <v>46286</v>
      </c>
    </row>
    <row r="15" customFormat="false" ht="15" hidden="false" customHeight="false" outlineLevel="0" collapsed="false">
      <c r="A15" s="20" t="n">
        <v>9</v>
      </c>
      <c r="B15" s="21" t="n">
        <f aca="false">IF(OR($B$5=0,G15&gt;$B$5),"",ROUND(SUMIFS('Daglig registrering'!$F$6:$F$124,'Daglig registrering'!$J$6:$J$124,A15),2))</f>
        <v>45</v>
      </c>
      <c r="C15" s="21" t="n">
        <f aca="false">IF(B15="","",ROUND(SUMIFS('Daglig registrering'!$H$6:$H$124,'Daglig registrering'!$J$6:$J$124,A15,'Daglig registrering'!$G$6:$G$124,"Ferie")+SUMIFS('Daglig registrering'!$H$6:$H$124,'Daglig registrering'!$J$6:$J$124,A15,'Daglig registrering'!$G$6:$G$124,"Sygdom"),2))</f>
        <v>0</v>
      </c>
      <c r="D15" s="21" t="n">
        <f aca="false">IF(B15="","",B15+C15)</f>
        <v>45</v>
      </c>
      <c r="E15" s="21" t="n">
        <f aca="false">IF(D15="","",SUM($D$7:D15)/A15)</f>
        <v>43.3333333333333</v>
      </c>
      <c r="F15" s="11" t="str">
        <f aca="false">IF(E15="","",IF(E15&lt;=48,"Ja","Nej"))</f>
        <v>Ja</v>
      </c>
      <c r="G15" s="10" t="n">
        <f aca="false">Periodestart+56</f>
        <v>46293</v>
      </c>
    </row>
    <row r="16" customFormat="false" ht="15" hidden="false" customHeight="false" outlineLevel="0" collapsed="false">
      <c r="A16" s="20" t="n">
        <v>10</v>
      </c>
      <c r="B16" s="21" t="n">
        <f aca="false">IF(OR($B$5=0,G16&gt;$B$5),"",ROUND(SUMIFS('Daglig registrering'!$F$6:$F$124,'Daglig registrering'!$J$6:$J$124,A16),2))</f>
        <v>48</v>
      </c>
      <c r="C16" s="21" t="n">
        <f aca="false">IF(B16="","",ROUND(SUMIFS('Daglig registrering'!$H$6:$H$124,'Daglig registrering'!$J$6:$J$124,A16,'Daglig registrering'!$G$6:$G$124,"Ferie")+SUMIFS('Daglig registrering'!$H$6:$H$124,'Daglig registrering'!$J$6:$J$124,A16,'Daglig registrering'!$G$6:$G$124,"Sygdom"),2))</f>
        <v>0</v>
      </c>
      <c r="D16" s="21" t="n">
        <f aca="false">IF(B16="","",B16+C16)</f>
        <v>48</v>
      </c>
      <c r="E16" s="21" t="n">
        <f aca="false">IF(D16="","",SUM($D$7:D16)/A16)</f>
        <v>43.8</v>
      </c>
      <c r="F16" s="11" t="str">
        <f aca="false">IF(E16="","",IF(E16&lt;=48,"Ja","Nej"))</f>
        <v>Ja</v>
      </c>
      <c r="G16" s="10" t="n">
        <f aca="false">Periodestart+63</f>
        <v>46300</v>
      </c>
    </row>
    <row r="17" customFormat="false" ht="15" hidden="false" customHeight="false" outlineLevel="0" collapsed="false">
      <c r="A17" s="20" t="n">
        <v>11</v>
      </c>
      <c r="B17" s="21" t="n">
        <f aca="false">IF(OR($B$5=0,G17&gt;$B$5),"",ROUND(SUMIFS('Daglig registrering'!$F$6:$F$124,'Daglig registrering'!$J$6:$J$124,A17),2))</f>
        <v>54</v>
      </c>
      <c r="C17" s="21" t="n">
        <f aca="false">IF(B17="","",ROUND(SUMIFS('Daglig registrering'!$H$6:$H$124,'Daglig registrering'!$J$6:$J$124,A17,'Daglig registrering'!$G$6:$G$124,"Ferie")+SUMIFS('Daglig registrering'!$H$6:$H$124,'Daglig registrering'!$J$6:$J$124,A17,'Daglig registrering'!$G$6:$G$124,"Sygdom"),2))</f>
        <v>0</v>
      </c>
      <c r="D17" s="21" t="n">
        <f aca="false">IF(B17="","",B17+C17)</f>
        <v>54</v>
      </c>
      <c r="E17" s="21" t="n">
        <f aca="false">IF(D17="","",SUM($D$7:D17)/A17)</f>
        <v>44.7272727272727</v>
      </c>
      <c r="F17" s="11" t="str">
        <f aca="false">IF(E17="","",IF(E17&lt;=48,"Ja","Nej"))</f>
        <v>Ja</v>
      </c>
      <c r="G17" s="10" t="n">
        <f aca="false">Periodestart+70</f>
        <v>46307</v>
      </c>
    </row>
    <row r="18" customFormat="false" ht="15" hidden="false" customHeight="false" outlineLevel="0" collapsed="false">
      <c r="A18" s="20" t="n">
        <v>12</v>
      </c>
      <c r="B18" s="21" t="n">
        <f aca="false">IF(OR($B$5=0,G18&gt;$B$5),"",ROUND(SUMIFS('Daglig registrering'!$F$6:$F$124,'Daglig registrering'!$J$6:$J$124,A18),2))</f>
        <v>0</v>
      </c>
      <c r="C18" s="21" t="n">
        <f aca="false">IF(B18="","",ROUND(SUMIFS('Daglig registrering'!$H$6:$H$124,'Daglig registrering'!$J$6:$J$124,A18,'Daglig registrering'!$G$6:$G$124,"Ferie")+SUMIFS('Daglig registrering'!$H$6:$H$124,'Daglig registrering'!$J$6:$J$124,A18,'Daglig registrering'!$G$6:$G$124,"Sygdom"),2))</f>
        <v>37</v>
      </c>
      <c r="D18" s="21" t="n">
        <f aca="false">IF(B18="","",B18+C18)</f>
        <v>37</v>
      </c>
      <c r="E18" s="21" t="n">
        <f aca="false">IF(D18="","",SUM($D$7:D18)/A18)</f>
        <v>44.0833333333333</v>
      </c>
      <c r="F18" s="11" t="str">
        <f aca="false">IF(E18="","",IF(E18&lt;=48,"Ja","Nej"))</f>
        <v>Ja</v>
      </c>
      <c r="G18" s="10" t="n">
        <f aca="false">Periodestart+77</f>
        <v>46314</v>
      </c>
    </row>
    <row r="19" customFormat="false" ht="15" hidden="false" customHeight="false" outlineLevel="0" collapsed="false">
      <c r="A19" s="20" t="n">
        <v>13</v>
      </c>
      <c r="B19" s="21" t="n">
        <f aca="false">IF(OR($B$5=0,G19&gt;$B$5),"",ROUND(SUMIFS('Daglig registrering'!$F$6:$F$124,'Daglig registrering'!$J$6:$J$124,A19),2))</f>
        <v>32</v>
      </c>
      <c r="C19" s="21" t="n">
        <f aca="false">IF(B19="","",ROUND(SUMIFS('Daglig registrering'!$H$6:$H$124,'Daglig registrering'!$J$6:$J$124,A19,'Daglig registrering'!$G$6:$G$124,"Ferie")+SUMIFS('Daglig registrering'!$H$6:$H$124,'Daglig registrering'!$J$6:$J$124,A19,'Daglig registrering'!$G$6:$G$124,"Sygdom"),2))</f>
        <v>0</v>
      </c>
      <c r="D19" s="21" t="n">
        <f aca="false">IF(B19="","",B19+C19)</f>
        <v>32</v>
      </c>
      <c r="E19" s="21" t="n">
        <f aca="false">IF(D19="","",SUM($D$7:D19)/A19)</f>
        <v>43.1538461538462</v>
      </c>
      <c r="F19" s="11" t="str">
        <f aca="false">IF(E19="","",IF(E19&lt;=48,"Ja","Nej"))</f>
        <v>Ja</v>
      </c>
      <c r="G19" s="10" t="n">
        <f aca="false">Periodestart+84</f>
        <v>46321</v>
      </c>
    </row>
    <row r="20" customFormat="false" ht="15" hidden="false" customHeight="false" outlineLevel="0" collapsed="false">
      <c r="A20" s="20" t="n">
        <v>14</v>
      </c>
      <c r="B20" s="21" t="n">
        <f aca="false">IF(OR($B$5=0,G20&gt;$B$5),"",ROUND(SUMIFS('Daglig registrering'!$F$6:$F$124,'Daglig registrering'!$J$6:$J$124,A20),2))</f>
        <v>40</v>
      </c>
      <c r="C20" s="21" t="n">
        <f aca="false">IF(B20="","",ROUND(SUMIFS('Daglig registrering'!$H$6:$H$124,'Daglig registrering'!$J$6:$J$124,A20,'Daglig registrering'!$G$6:$G$124,"Ferie")+SUMIFS('Daglig registrering'!$H$6:$H$124,'Daglig registrering'!$J$6:$J$124,A20,'Daglig registrering'!$G$6:$G$124,"Sygdom"),2))</f>
        <v>0</v>
      </c>
      <c r="D20" s="21" t="n">
        <f aca="false">IF(B20="","",B20+C20)</f>
        <v>40</v>
      </c>
      <c r="E20" s="21" t="n">
        <f aca="false">IF(D20="","",SUM($D$7:D20)/A20)</f>
        <v>42.9285714285714</v>
      </c>
      <c r="F20" s="11" t="str">
        <f aca="false">IF(E20="","",IF(E20&lt;=48,"Ja","Nej"))</f>
        <v>Ja</v>
      </c>
      <c r="G20" s="10" t="n">
        <f aca="false">Periodestart+91</f>
        <v>46328</v>
      </c>
    </row>
    <row r="21" customFormat="false" ht="15" hidden="false" customHeight="false" outlineLevel="0" collapsed="false">
      <c r="A21" s="20" t="n">
        <v>15</v>
      </c>
      <c r="B21" s="21" t="n">
        <f aca="false">IF(OR($B$5=0,G21&gt;$B$5),"",ROUND(SUMIFS('Daglig registrering'!$F$6:$F$124,'Daglig registrering'!$J$6:$J$124,A21),2))</f>
        <v>45</v>
      </c>
      <c r="C21" s="21" t="n">
        <f aca="false">IF(B21="","",ROUND(SUMIFS('Daglig registrering'!$H$6:$H$124,'Daglig registrering'!$J$6:$J$124,A21,'Daglig registrering'!$G$6:$G$124,"Ferie")+SUMIFS('Daglig registrering'!$H$6:$H$124,'Daglig registrering'!$J$6:$J$124,A21,'Daglig registrering'!$G$6:$G$124,"Sygdom"),2))</f>
        <v>0</v>
      </c>
      <c r="D21" s="21" t="n">
        <f aca="false">IF(B21="","",B21+C21)</f>
        <v>45</v>
      </c>
      <c r="E21" s="21" t="n">
        <f aca="false">IF(D21="","",SUM($D$7:D21)/A21)</f>
        <v>43.0666666666667</v>
      </c>
      <c r="F21" s="11" t="str">
        <f aca="false">IF(E21="","",IF(E21&lt;=48,"Ja","Nej"))</f>
        <v>Ja</v>
      </c>
      <c r="G21" s="10" t="n">
        <f aca="false">Periodestart+98</f>
        <v>46335</v>
      </c>
    </row>
    <row r="22" customFormat="false" ht="15" hidden="false" customHeight="false" outlineLevel="0" collapsed="false">
      <c r="A22" s="20" t="n">
        <v>16</v>
      </c>
      <c r="B22" s="21" t="n">
        <f aca="false">IF(OR($B$5=0,G22&gt;$B$5),"",ROUND(SUMIFS('Daglig registrering'!$F$6:$F$124,'Daglig registrering'!$J$6:$J$124,A22),2))</f>
        <v>37</v>
      </c>
      <c r="C22" s="21" t="n">
        <f aca="false">IF(B22="","",ROUND(SUMIFS('Daglig registrering'!$H$6:$H$124,'Daglig registrering'!$J$6:$J$124,A22,'Daglig registrering'!$G$6:$G$124,"Ferie")+SUMIFS('Daglig registrering'!$H$6:$H$124,'Daglig registrering'!$J$6:$J$124,A22,'Daglig registrering'!$G$6:$G$124,"Sygdom"),2))</f>
        <v>0</v>
      </c>
      <c r="D22" s="21" t="n">
        <f aca="false">IF(B22="","",B22+C22)</f>
        <v>37</v>
      </c>
      <c r="E22" s="21" t="n">
        <f aca="false">IF(D22="","",SUM($D$7:D22)/A22)</f>
        <v>42.6875</v>
      </c>
      <c r="F22" s="11" t="str">
        <f aca="false">IF(E22="","",IF(E22&lt;=48,"Ja","Nej"))</f>
        <v>Ja</v>
      </c>
      <c r="G22" s="10" t="n">
        <f aca="false">Periodestart+105</f>
        <v>46342</v>
      </c>
    </row>
    <row r="23" customFormat="false" ht="15" hidden="false" customHeight="false" outlineLevel="0" collapsed="false">
      <c r="A23" s="20" t="n">
        <v>17</v>
      </c>
      <c r="B23" s="21" t="n">
        <f aca="false">IF(OR($B$5=0,G23&gt;$B$5),"",ROUND(SUMIFS('Daglig registrering'!$F$6:$F$124,'Daglig registrering'!$J$6:$J$124,A23),2))</f>
        <v>36</v>
      </c>
      <c r="C23" s="21" t="n">
        <f aca="false">IF(B23="","",ROUND(SUMIFS('Daglig registrering'!$H$6:$H$124,'Daglig registrering'!$J$6:$J$124,A23,'Daglig registrering'!$G$6:$G$124,"Ferie")+SUMIFS('Daglig registrering'!$H$6:$H$124,'Daglig registrering'!$J$6:$J$124,A23,'Daglig registrering'!$G$6:$G$124,"Sygdom"),2))</f>
        <v>0</v>
      </c>
      <c r="D23" s="21" t="n">
        <f aca="false">IF(B23="","",B23+C23)</f>
        <v>36</v>
      </c>
      <c r="E23" s="21" t="n">
        <f aca="false">IF(D23="","",SUM($D$7:D23)/A23)</f>
        <v>42.2941176470588</v>
      </c>
      <c r="F23" s="11" t="str">
        <f aca="false">IF(E23="","",IF(E23&lt;=48,"Ja","Nej"))</f>
        <v>Ja</v>
      </c>
      <c r="G23" s="10" t="n">
        <f aca="false">Periodestart+112</f>
        <v>46349</v>
      </c>
    </row>
    <row r="24" customFormat="false" ht="15" hidden="false" customHeight="false" outlineLevel="0" collapsed="false">
      <c r="A24" s="22" t="s">
        <v>39</v>
      </c>
      <c r="B24" s="23" t="n">
        <f aca="false">SUM(B7:B23)</f>
        <v>645</v>
      </c>
      <c r="C24" s="23" t="n">
        <f aca="false">SUM(C7:C23)</f>
        <v>74</v>
      </c>
      <c r="D24" s="23" t="n">
        <f aca="false">SUM(D7:D23)</f>
        <v>719</v>
      </c>
      <c r="E24" s="23" t="n">
        <f aca="false">IF(COUNT(D7:D23)=0,"",D24/COUNT(D7:D23))</f>
        <v>42.2941176470588</v>
      </c>
      <c r="F24" s="22" t="str">
        <f aca="false">IF(E24="","",IF(E24&lt;=48,"Ja","Nej"))</f>
        <v>Ja</v>
      </c>
      <c r="G24" s="22"/>
    </row>
    <row r="26" customFormat="false" ht="15" hidden="false" customHeight="false" outlineLevel="0" collapsed="false">
      <c r="A26" s="3" t="s">
        <v>40</v>
      </c>
      <c r="B26" s="24" t="n">
        <f aca="false">COUNTIF(D7:D23,"&gt;48")</f>
        <v>4</v>
      </c>
    </row>
    <row r="27" customFormat="false" ht="15" hidden="false" customHeight="false" outlineLevel="0" collapsed="false">
      <c r="A27" s="3" t="s">
        <v>41</v>
      </c>
      <c r="B27" s="25"/>
    </row>
    <row r="28" customFormat="false" ht="15" hidden="false" customHeight="false" outlineLevel="0" collapsed="false">
      <c r="A28" s="3" t="s">
        <v>42</v>
      </c>
      <c r="B28" s="24" t="str">
        <f aca="false">IF(OR(B27="",E24=""),"",IF(E24&gt;B27,"Ja","Nej"))</f>
        <v/>
      </c>
    </row>
    <row r="30" customFormat="false" ht="30" hidden="false" customHeight="true" outlineLevel="0" collapsed="false">
      <c r="A30" s="7" t="s">
        <v>43</v>
      </c>
      <c r="B30" s="7"/>
      <c r="C30" s="7"/>
      <c r="D30" s="7"/>
      <c r="E30" s="7"/>
      <c r="F30" s="7"/>
      <c r="G30" s="7"/>
    </row>
  </sheetData>
  <sheetProtection sheet="true"/>
  <mergeCells count="2">
    <mergeCell ref="B4:C4"/>
    <mergeCell ref="A30:G30"/>
  </mergeCells>
  <conditionalFormatting sqref="A7:G23">
    <cfRule type="expression" priority="2" aboveAverage="0" equalAverage="0" bottom="0" percent="0" rank="0" text="" dxfId="1">
      <formula>AND(ISNUMBER($E7),$E7&gt;48)</formula>
    </cfRule>
  </conditionalFormatting>
  <conditionalFormatting sqref="D7:D23">
    <cfRule type="expression" priority="3" aboveAverage="0" equalAverage="0" bottom="0" percent="0" rank="0" text="" dxfId="2">
      <formula>AND(ISNUMBER($D7),$D7&gt;48)</formula>
    </cfRule>
  </conditionalFormatting>
  <conditionalFormatting sqref="A24:G24">
    <cfRule type="expression" priority="4" aboveAverage="0" equalAverage="0" bottom="0" percent="0" rank="0" text="" dxfId="1">
      <formula>AND(ISNUMBER($E24),$E24&gt;48)</formula>
    </cfRule>
  </conditionalFormatting>
  <printOptions headings="true" gridLines="tru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44</v>
      </c>
    </row>
    <row r="3" customFormat="false" ht="15" hidden="false" customHeight="false" outlineLevel="0" collapsed="false">
      <c r="A3" s="26" t="s">
        <v>45</v>
      </c>
    </row>
    <row r="4" customFormat="false" ht="15" hidden="false" customHeight="false" outlineLevel="0" collapsed="false">
      <c r="A4" s="27"/>
    </row>
    <row r="5" customFormat="false" ht="15" hidden="false" customHeight="false" outlineLevel="0" collapsed="false">
      <c r="A5" s="28" t="s">
        <v>46</v>
      </c>
    </row>
    <row r="6" customFormat="false" ht="15" hidden="false" customHeight="false" outlineLevel="0" collapsed="false">
      <c r="A6" s="27" t="s">
        <v>47</v>
      </c>
    </row>
    <row r="7" customFormat="false" ht="15" hidden="false" customHeight="false" outlineLevel="0" collapsed="false">
      <c r="A7" s="27" t="s">
        <v>48</v>
      </c>
    </row>
    <row r="8" customFormat="false" ht="15" hidden="false" customHeight="false" outlineLevel="0" collapsed="false">
      <c r="A8" s="27" t="s">
        <v>49</v>
      </c>
    </row>
    <row r="9" customFormat="false" ht="15" hidden="false" customHeight="false" outlineLevel="0" collapsed="false">
      <c r="A9" s="27" t="s">
        <v>50</v>
      </c>
    </row>
    <row r="10" customFormat="false" ht="15" hidden="false" customHeight="false" outlineLevel="0" collapsed="false">
      <c r="A10" s="27" t="s">
        <v>51</v>
      </c>
    </row>
    <row r="11" customFormat="false" ht="15" hidden="false" customHeight="false" outlineLevel="0" collapsed="false">
      <c r="A11" s="27"/>
    </row>
    <row r="12" customFormat="false" ht="15" hidden="false" customHeight="false" outlineLevel="0" collapsed="false">
      <c r="A12" s="28" t="s">
        <v>52</v>
      </c>
    </row>
    <row r="13" customFormat="false" ht="15" hidden="false" customHeight="false" outlineLevel="0" collapsed="false">
      <c r="A13" s="27" t="s">
        <v>53</v>
      </c>
    </row>
    <row r="14" customFormat="false" ht="15" hidden="false" customHeight="false" outlineLevel="0" collapsed="false">
      <c r="A14" s="27" t="s">
        <v>54</v>
      </c>
    </row>
    <row r="15" customFormat="false" ht="15" hidden="false" customHeight="false" outlineLevel="0" collapsed="false">
      <c r="A15" s="27" t="s">
        <v>55</v>
      </c>
    </row>
    <row r="16" customFormat="false" ht="23.85" hidden="false" customHeight="false" outlineLevel="0" collapsed="false">
      <c r="A16" s="27" t="s">
        <v>56</v>
      </c>
    </row>
    <row r="17" customFormat="false" ht="15" hidden="false" customHeight="false" outlineLevel="0" collapsed="false">
      <c r="A17" s="27" t="s">
        <v>57</v>
      </c>
    </row>
    <row r="18" customFormat="false" ht="15" hidden="false" customHeight="false" outlineLevel="0" collapsed="false">
      <c r="A18" s="27" t="s">
        <v>58</v>
      </c>
    </row>
    <row r="19" customFormat="false" ht="15" hidden="false" customHeight="false" outlineLevel="0" collapsed="false">
      <c r="A19" s="27"/>
    </row>
    <row r="20" customFormat="false" ht="15" hidden="false" customHeight="false" outlineLevel="0" collapsed="false">
      <c r="A20" s="27" t="s">
        <v>59</v>
      </c>
    </row>
    <row r="21" customFormat="false" ht="15" hidden="false" customHeight="false" outlineLevel="0" collapsed="false">
      <c r="A21" s="27" t="s">
        <v>60</v>
      </c>
    </row>
    <row r="22" customFormat="false" ht="15" hidden="false" customHeight="false" outlineLevel="0" collapsed="false">
      <c r="A22" s="27" t="s">
        <v>61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2026-10-24T13:35:15Z</dcterms:created>
  <dc:creator>openpyxl</dc:creator>
  <dc:description/>
  <dc:language>da-DK</dc:language>
  <cp:lastModifiedBy/>
  <dcterms:modified xsi:type="dcterms:W3CDTF">2026-10-24T13:35:15Z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